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A67AC684-2DAA-48DB-AD74-342205F061FD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entregable" sheetId="1" r:id="rId1"/>
    <sheet name="Hoja1" sheetId="2" r:id="rId2"/>
  </sheets>
  <definedNames>
    <definedName name="_xlnm._FilterDatabase" localSheetId="0" hidden="1">entregable!$M$1:$M$232</definedName>
    <definedName name="_xlnm.Print_Area" localSheetId="0">entregable!#REF!</definedName>
    <definedName name="_xlnm.Print_Titles" localSheetId="0">entregable!$B:$P,entregable!$1:$5</definedName>
  </definedNames>
  <calcPr calcId="162913"/>
</workbook>
</file>

<file path=xl/calcChain.xml><?xml version="1.0" encoding="utf-8"?>
<calcChain xmlns="http://schemas.openxmlformats.org/spreadsheetml/2006/main">
  <c r="O210" i="1" l="1"/>
  <c r="O211" i="1"/>
  <c r="O212" i="1"/>
  <c r="O213" i="1"/>
  <c r="O214" i="1"/>
  <c r="O215" i="1"/>
  <c r="O205" i="1"/>
  <c r="O206" i="1"/>
  <c r="O207" i="1"/>
  <c r="O208" i="1"/>
  <c r="O209" i="1"/>
  <c r="O199" i="1"/>
  <c r="O200" i="1"/>
  <c r="O201" i="1"/>
  <c r="O202" i="1"/>
  <c r="O204" i="1"/>
  <c r="O192" i="1"/>
  <c r="O193" i="1"/>
  <c r="O194" i="1"/>
  <c r="O195" i="1"/>
  <c r="O196" i="1"/>
  <c r="O197" i="1"/>
  <c r="O198" i="1"/>
  <c r="O187" i="1"/>
  <c r="O189" i="1"/>
  <c r="O182" i="1"/>
  <c r="O186" i="1"/>
  <c r="O174" i="1"/>
  <c r="O176" i="1"/>
  <c r="O163" i="1"/>
  <c r="O164" i="1"/>
  <c r="O156" i="1"/>
  <c r="O123" i="1"/>
  <c r="O124" i="1"/>
  <c r="O126" i="1"/>
  <c r="O119" i="1"/>
  <c r="O120" i="1"/>
  <c r="O115" i="1"/>
  <c r="O101" i="1"/>
  <c r="O103" i="1"/>
  <c r="O89" i="1"/>
  <c r="M203" i="1" l="1"/>
  <c r="O203" i="1" s="1"/>
  <c r="M71" i="1"/>
  <c r="G193" i="1" l="1"/>
  <c r="G215" i="1" l="1"/>
  <c r="I188" i="1" l="1"/>
  <c r="O188" i="1" s="1"/>
  <c r="H188" i="1"/>
  <c r="I158" i="1"/>
  <c r="H158" i="1"/>
  <c r="H110" i="1"/>
  <c r="H108" i="1"/>
  <c r="I106" i="1"/>
  <c r="O106" i="1" s="1"/>
  <c r="H106" i="1"/>
  <c r="I102" i="1" l="1"/>
  <c r="O102" i="1" s="1"/>
  <c r="H102" i="1"/>
  <c r="I98" i="1"/>
  <c r="O98" i="1" s="1"/>
  <c r="H98" i="1"/>
  <c r="I88" i="1"/>
  <c r="H88" i="1"/>
  <c r="I77" i="1"/>
  <c r="H77" i="1"/>
  <c r="J67" i="1"/>
  <c r="M218" i="1" l="1"/>
  <c r="G217" i="1"/>
  <c r="G216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2" i="1"/>
  <c r="O191" i="1"/>
  <c r="G191" i="1"/>
  <c r="G190" i="1"/>
  <c r="G189" i="1"/>
  <c r="G188" i="1"/>
  <c r="G187" i="1"/>
  <c r="G186" i="1"/>
  <c r="I185" i="1"/>
  <c r="I184" i="1"/>
  <c r="I183" i="1"/>
  <c r="G182" i="1"/>
  <c r="I181" i="1"/>
  <c r="O181" i="1" s="1"/>
  <c r="H181" i="1"/>
  <c r="I180" i="1"/>
  <c r="O180" i="1" s="1"/>
  <c r="H180" i="1"/>
  <c r="I179" i="1"/>
  <c r="O179" i="1" s="1"/>
  <c r="I178" i="1"/>
  <c r="O178" i="1" s="1"/>
  <c r="H178" i="1"/>
  <c r="I177" i="1"/>
  <c r="O177" i="1" s="1"/>
  <c r="H177" i="1"/>
  <c r="G176" i="1"/>
  <c r="I175" i="1"/>
  <c r="O175" i="1" s="1"/>
  <c r="H175" i="1"/>
  <c r="G174" i="1"/>
  <c r="I173" i="1"/>
  <c r="O173" i="1" s="1"/>
  <c r="H173" i="1"/>
  <c r="O172" i="1"/>
  <c r="G172" i="1"/>
  <c r="I171" i="1"/>
  <c r="O171" i="1" s="1"/>
  <c r="H171" i="1"/>
  <c r="I170" i="1"/>
  <c r="O170" i="1" s="1"/>
  <c r="H170" i="1"/>
  <c r="I169" i="1"/>
  <c r="O169" i="1" s="1"/>
  <c r="H169" i="1"/>
  <c r="I168" i="1"/>
  <c r="O168" i="1" s="1"/>
  <c r="H168" i="1"/>
  <c r="I167" i="1"/>
  <c r="O167" i="1" s="1"/>
  <c r="H167" i="1"/>
  <c r="I166" i="1"/>
  <c r="O166" i="1" s="1"/>
  <c r="H166" i="1"/>
  <c r="I165" i="1"/>
  <c r="O165" i="1" s="1"/>
  <c r="H165" i="1"/>
  <c r="G164" i="1"/>
  <c r="G163" i="1"/>
  <c r="I162" i="1"/>
  <c r="O162" i="1" s="1"/>
  <c r="H162" i="1"/>
  <c r="I161" i="1"/>
  <c r="O161" i="1" s="1"/>
  <c r="H161" i="1"/>
  <c r="I160" i="1"/>
  <c r="O160" i="1" s="1"/>
  <c r="H160" i="1"/>
  <c r="I159" i="1"/>
  <c r="O159" i="1" s="1"/>
  <c r="H159" i="1"/>
  <c r="O158" i="1"/>
  <c r="G158" i="1"/>
  <c r="I157" i="1"/>
  <c r="O157" i="1" s="1"/>
  <c r="G156" i="1"/>
  <c r="I155" i="1"/>
  <c r="O155" i="1" s="1"/>
  <c r="H155" i="1"/>
  <c r="O154" i="1"/>
  <c r="G154" i="1"/>
  <c r="O153" i="1"/>
  <c r="G153" i="1"/>
  <c r="O152" i="1"/>
  <c r="G152" i="1"/>
  <c r="O151" i="1"/>
  <c r="G151" i="1"/>
  <c r="O150" i="1"/>
  <c r="G150" i="1"/>
  <c r="I149" i="1"/>
  <c r="O149" i="1" s="1"/>
  <c r="H149" i="1"/>
  <c r="O148" i="1"/>
  <c r="G148" i="1"/>
  <c r="I147" i="1"/>
  <c r="O147" i="1" s="1"/>
  <c r="H147" i="1"/>
  <c r="I146" i="1"/>
  <c r="O146" i="1" s="1"/>
  <c r="H146" i="1"/>
  <c r="I145" i="1"/>
  <c r="O145" i="1" s="1"/>
  <c r="H145" i="1"/>
  <c r="I144" i="1"/>
  <c r="O144" i="1" s="1"/>
  <c r="H144" i="1"/>
  <c r="I143" i="1"/>
  <c r="O143" i="1" s="1"/>
  <c r="H143" i="1"/>
  <c r="I142" i="1"/>
  <c r="O142" i="1" s="1"/>
  <c r="H142" i="1"/>
  <c r="I141" i="1"/>
  <c r="O141" i="1" s="1"/>
  <c r="H141" i="1"/>
  <c r="H140" i="1"/>
  <c r="G140" i="1" s="1"/>
  <c r="I139" i="1"/>
  <c r="O139" i="1" s="1"/>
  <c r="H139" i="1"/>
  <c r="I138" i="1"/>
  <c r="O138" i="1" s="1"/>
  <c r="H138" i="1"/>
  <c r="I137" i="1"/>
  <c r="O137" i="1" s="1"/>
  <c r="H137" i="1"/>
  <c r="O136" i="1"/>
  <c r="J136" i="1"/>
  <c r="G136" i="1" s="1"/>
  <c r="I135" i="1"/>
  <c r="O135" i="1" s="1"/>
  <c r="H135" i="1"/>
  <c r="I134" i="1"/>
  <c r="O134" i="1" s="1"/>
  <c r="H134" i="1"/>
  <c r="I133" i="1"/>
  <c r="O133" i="1" s="1"/>
  <c r="H133" i="1"/>
  <c r="I132" i="1"/>
  <c r="O132" i="1" s="1"/>
  <c r="H132" i="1"/>
  <c r="I131" i="1"/>
  <c r="O131" i="1" s="1"/>
  <c r="H131" i="1"/>
  <c r="I130" i="1"/>
  <c r="O130" i="1" s="1"/>
  <c r="I129" i="1"/>
  <c r="O129" i="1" s="1"/>
  <c r="H129" i="1"/>
  <c r="I128" i="1"/>
  <c r="O128" i="1" s="1"/>
  <c r="H128" i="1"/>
  <c r="I127" i="1"/>
  <c r="O127" i="1" s="1"/>
  <c r="H127" i="1"/>
  <c r="G126" i="1"/>
  <c r="I125" i="1"/>
  <c r="O125" i="1" s="1"/>
  <c r="H125" i="1"/>
  <c r="G124" i="1"/>
  <c r="G123" i="1"/>
  <c r="I122" i="1"/>
  <c r="O122" i="1" s="1"/>
  <c r="H122" i="1"/>
  <c r="I121" i="1"/>
  <c r="O121" i="1" s="1"/>
  <c r="H121" i="1"/>
  <c r="G120" i="1"/>
  <c r="G119" i="1"/>
  <c r="I118" i="1"/>
  <c r="O118" i="1" s="1"/>
  <c r="H118" i="1"/>
  <c r="I117" i="1"/>
  <c r="O117" i="1" s="1"/>
  <c r="H117" i="1"/>
  <c r="I116" i="1"/>
  <c r="O116" i="1" s="1"/>
  <c r="H116" i="1"/>
  <c r="O114" i="1"/>
  <c r="I113" i="1"/>
  <c r="O113" i="1" s="1"/>
  <c r="H113" i="1"/>
  <c r="I112" i="1"/>
  <c r="O112" i="1" s="1"/>
  <c r="H112" i="1"/>
  <c r="O111" i="1"/>
  <c r="G111" i="1"/>
  <c r="G110" i="1"/>
  <c r="H109" i="1"/>
  <c r="G109" i="1" s="1"/>
  <c r="G108" i="1"/>
  <c r="I107" i="1"/>
  <c r="O107" i="1" s="1"/>
  <c r="I105" i="1"/>
  <c r="O105" i="1" s="1"/>
  <c r="I104" i="1"/>
  <c r="O104" i="1" s="1"/>
  <c r="H104" i="1"/>
  <c r="G103" i="1"/>
  <c r="G102" i="1"/>
  <c r="G101" i="1"/>
  <c r="I100" i="1"/>
  <c r="O100" i="1" s="1"/>
  <c r="H100" i="1"/>
  <c r="I99" i="1"/>
  <c r="O99" i="1" s="1"/>
  <c r="H99" i="1"/>
  <c r="G98" i="1"/>
  <c r="I97" i="1"/>
  <c r="O97" i="1" s="1"/>
  <c r="H97" i="1"/>
  <c r="I96" i="1"/>
  <c r="O96" i="1" s="1"/>
  <c r="H96" i="1"/>
  <c r="I95" i="1"/>
  <c r="O95" i="1" s="1"/>
  <c r="H95" i="1"/>
  <c r="I94" i="1"/>
  <c r="O94" i="1" s="1"/>
  <c r="H94" i="1"/>
  <c r="I93" i="1"/>
  <c r="O93" i="1" s="1"/>
  <c r="H93" i="1"/>
  <c r="I92" i="1"/>
  <c r="O92" i="1" s="1"/>
  <c r="H92" i="1"/>
  <c r="I91" i="1"/>
  <c r="O91" i="1" s="1"/>
  <c r="H91" i="1"/>
  <c r="I90" i="1"/>
  <c r="O90" i="1" s="1"/>
  <c r="H90" i="1"/>
  <c r="G89" i="1"/>
  <c r="O88" i="1"/>
  <c r="G88" i="1"/>
  <c r="I87" i="1"/>
  <c r="O87" i="1" s="1"/>
  <c r="H87" i="1"/>
  <c r="O86" i="1"/>
  <c r="G86" i="1"/>
  <c r="I85" i="1"/>
  <c r="O85" i="1" s="1"/>
  <c r="H85" i="1"/>
  <c r="I84" i="1"/>
  <c r="O84" i="1" s="1"/>
  <c r="H84" i="1"/>
  <c r="I83" i="1"/>
  <c r="O83" i="1" s="1"/>
  <c r="H83" i="1"/>
  <c r="O82" i="1"/>
  <c r="G82" i="1"/>
  <c r="I81" i="1"/>
  <c r="O81" i="1" s="1"/>
  <c r="H81" i="1"/>
  <c r="I80" i="1"/>
  <c r="O80" i="1" s="1"/>
  <c r="H80" i="1"/>
  <c r="O79" i="1"/>
  <c r="G79" i="1"/>
  <c r="I78" i="1"/>
  <c r="O78" i="1" s="1"/>
  <c r="H78" i="1"/>
  <c r="O77" i="1"/>
  <c r="O76" i="1"/>
  <c r="G76" i="1"/>
  <c r="O75" i="1"/>
  <c r="O74" i="1"/>
  <c r="G74" i="1"/>
  <c r="I73" i="1"/>
  <c r="O73" i="1" s="1"/>
  <c r="H73" i="1"/>
  <c r="O72" i="1"/>
  <c r="G72" i="1"/>
  <c r="O71" i="1"/>
  <c r="G71" i="1"/>
  <c r="O70" i="1"/>
  <c r="G70" i="1"/>
  <c r="O69" i="1"/>
  <c r="G69" i="1"/>
  <c r="I68" i="1"/>
  <c r="O68" i="1" s="1"/>
  <c r="H68" i="1"/>
  <c r="O67" i="1"/>
  <c r="G67" i="1"/>
  <c r="I66" i="1"/>
  <c r="O66" i="1" s="1"/>
  <c r="H66" i="1"/>
  <c r="I65" i="1"/>
  <c r="O65" i="1" s="1"/>
  <c r="H65" i="1"/>
  <c r="O64" i="1"/>
  <c r="G64" i="1"/>
  <c r="I63" i="1"/>
  <c r="O63" i="1" s="1"/>
  <c r="H63" i="1"/>
  <c r="I62" i="1"/>
  <c r="O62" i="1" s="1"/>
  <c r="H62" i="1"/>
  <c r="O61" i="1"/>
  <c r="G61" i="1"/>
  <c r="I60" i="1"/>
  <c r="O60" i="1" s="1"/>
  <c r="H60" i="1"/>
  <c r="I59" i="1"/>
  <c r="O59" i="1" s="1"/>
  <c r="H59" i="1"/>
  <c r="I58" i="1"/>
  <c r="O58" i="1" s="1"/>
  <c r="H58" i="1"/>
  <c r="O57" i="1"/>
  <c r="G57" i="1"/>
  <c r="I56" i="1"/>
  <c r="O56" i="1" s="1"/>
  <c r="H56" i="1"/>
  <c r="I55" i="1"/>
  <c r="O55" i="1" s="1"/>
  <c r="H55" i="1"/>
  <c r="I54" i="1"/>
  <c r="O54" i="1" s="1"/>
  <c r="H54" i="1"/>
  <c r="I53" i="1"/>
  <c r="G53" i="1" s="1"/>
  <c r="O52" i="1"/>
  <c r="G52" i="1"/>
  <c r="O51" i="1"/>
  <c r="G51" i="1"/>
  <c r="O50" i="1"/>
  <c r="G50" i="1"/>
  <c r="I49" i="1"/>
  <c r="O49" i="1" s="1"/>
  <c r="H49" i="1"/>
  <c r="O48" i="1"/>
  <c r="J48" i="1"/>
  <c r="O47" i="1"/>
  <c r="G47" i="1"/>
  <c r="O46" i="1"/>
  <c r="G46" i="1"/>
  <c r="O45" i="1"/>
  <c r="G45" i="1"/>
  <c r="G44" i="1"/>
  <c r="H43" i="1"/>
  <c r="G43" i="1" s="1"/>
  <c r="I42" i="1"/>
  <c r="O42" i="1" s="1"/>
  <c r="H42" i="1"/>
  <c r="O41" i="1"/>
  <c r="G41" i="1"/>
  <c r="O40" i="1"/>
  <c r="G40" i="1"/>
  <c r="O39" i="1"/>
  <c r="G39" i="1"/>
  <c r="I38" i="1"/>
  <c r="O38" i="1" s="1"/>
  <c r="H38" i="1"/>
  <c r="I37" i="1"/>
  <c r="O37" i="1" s="1"/>
  <c r="H37" i="1"/>
  <c r="O36" i="1"/>
  <c r="G36" i="1"/>
  <c r="O35" i="1"/>
  <c r="G35" i="1"/>
  <c r="I34" i="1"/>
  <c r="O34" i="1" s="1"/>
  <c r="H34" i="1"/>
  <c r="O33" i="1"/>
  <c r="G33" i="1"/>
  <c r="O32" i="1"/>
  <c r="O31" i="1"/>
  <c r="G31" i="1"/>
  <c r="O30" i="1"/>
  <c r="G30" i="1"/>
  <c r="I29" i="1"/>
  <c r="O29" i="1" s="1"/>
  <c r="H29" i="1"/>
  <c r="I28" i="1"/>
  <c r="O28" i="1" s="1"/>
  <c r="H28" i="1"/>
  <c r="I27" i="1"/>
  <c r="O27" i="1" s="1"/>
  <c r="H27" i="1"/>
  <c r="O26" i="1"/>
  <c r="G26" i="1"/>
  <c r="I25" i="1"/>
  <c r="O25" i="1" s="1"/>
  <c r="H25" i="1"/>
  <c r="O24" i="1"/>
  <c r="G24" i="1"/>
  <c r="I23" i="1"/>
  <c r="O23" i="1" s="1"/>
  <c r="H23" i="1"/>
  <c r="I22" i="1"/>
  <c r="O22" i="1" s="1"/>
  <c r="H22" i="1"/>
  <c r="O21" i="1"/>
  <c r="G21" i="1"/>
  <c r="O20" i="1"/>
  <c r="G20" i="1"/>
  <c r="G19" i="1"/>
  <c r="G18" i="1"/>
  <c r="O17" i="1"/>
  <c r="G17" i="1"/>
  <c r="O16" i="1"/>
  <c r="G16" i="1"/>
  <c r="O15" i="1"/>
  <c r="G15" i="1"/>
  <c r="I14" i="1"/>
  <c r="O14" i="1" s="1"/>
  <c r="H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O6" i="1"/>
  <c r="G6" i="1"/>
  <c r="G185" i="1" l="1"/>
  <c r="O185" i="1"/>
  <c r="G183" i="1"/>
  <c r="O183" i="1"/>
  <c r="G184" i="1"/>
  <c r="O184" i="1"/>
  <c r="G68" i="1"/>
  <c r="G29" i="1"/>
  <c r="J218" i="1"/>
  <c r="G131" i="1"/>
  <c r="G133" i="1"/>
  <c r="G137" i="1"/>
  <c r="G160" i="1"/>
  <c r="G166" i="1"/>
  <c r="G78" i="1"/>
  <c r="G127" i="1"/>
  <c r="G143" i="1"/>
  <c r="G129" i="1"/>
  <c r="O53" i="1"/>
  <c r="G125" i="1"/>
  <c r="G42" i="1"/>
  <c r="G49" i="1"/>
  <c r="G132" i="1"/>
  <c r="G178" i="1"/>
  <c r="G92" i="1"/>
  <c r="G118" i="1"/>
  <c r="G122" i="1"/>
  <c r="G161" i="1"/>
  <c r="G165" i="1"/>
  <c r="G167" i="1"/>
  <c r="G94" i="1"/>
  <c r="G112" i="1"/>
  <c r="G147" i="1"/>
  <c r="G25" i="1"/>
  <c r="G27" i="1"/>
  <c r="G63" i="1"/>
  <c r="G87" i="1"/>
  <c r="G100" i="1"/>
  <c r="G104" i="1"/>
  <c r="G107" i="1"/>
  <c r="G134" i="1"/>
  <c r="G149" i="1"/>
  <c r="G155" i="1"/>
  <c r="G157" i="1"/>
  <c r="G168" i="1"/>
  <c r="G170" i="1"/>
  <c r="G22" i="1"/>
  <c r="G28" i="1"/>
  <c r="G54" i="1"/>
  <c r="G56" i="1"/>
  <c r="G60" i="1"/>
  <c r="G62" i="1"/>
  <c r="G80" i="1"/>
  <c r="G90" i="1"/>
  <c r="G116" i="1"/>
  <c r="G171" i="1"/>
  <c r="G173" i="1"/>
  <c r="G23" i="1"/>
  <c r="G32" i="1"/>
  <c r="G48" i="1"/>
  <c r="G55" i="1"/>
  <c r="G73" i="1"/>
  <c r="G81" i="1"/>
  <c r="G121" i="1"/>
  <c r="G135" i="1"/>
  <c r="G159" i="1"/>
  <c r="G162" i="1"/>
  <c r="G169" i="1"/>
  <c r="G181" i="1"/>
  <c r="G58" i="1"/>
  <c r="G96" i="1"/>
  <c r="H218" i="1"/>
  <c r="G38" i="1"/>
  <c r="G75" i="1"/>
  <c r="G85" i="1"/>
  <c r="G91" i="1"/>
  <c r="G95" i="1"/>
  <c r="G99" i="1"/>
  <c r="G115" i="1"/>
  <c r="G128" i="1"/>
  <c r="G138" i="1"/>
  <c r="G144" i="1"/>
  <c r="G177" i="1"/>
  <c r="G37" i="1"/>
  <c r="G66" i="1"/>
  <c r="G84" i="1"/>
  <c r="G114" i="1"/>
  <c r="G34" i="1"/>
  <c r="G59" i="1"/>
  <c r="G65" i="1"/>
  <c r="G77" i="1"/>
  <c r="G83" i="1"/>
  <c r="G93" i="1"/>
  <c r="G97" i="1"/>
  <c r="G106" i="1"/>
  <c r="G113" i="1"/>
  <c r="G117" i="1"/>
  <c r="G142" i="1"/>
  <c r="G146" i="1"/>
  <c r="G139" i="1"/>
  <c r="G141" i="1"/>
  <c r="G145" i="1"/>
  <c r="G175" i="1"/>
  <c r="G180" i="1"/>
  <c r="G14" i="1"/>
  <c r="I218" i="1"/>
  <c r="G105" i="1"/>
  <c r="G130" i="1"/>
  <c r="G179" i="1"/>
  <c r="G218" i="1" l="1"/>
</calcChain>
</file>

<file path=xl/sharedStrings.xml><?xml version="1.0" encoding="utf-8"?>
<sst xmlns="http://schemas.openxmlformats.org/spreadsheetml/2006/main" count="874" uniqueCount="512">
  <si>
    <t>MUNICIPIO DE CELAYA GUANAJUATO</t>
  </si>
  <si>
    <t>INFORME DE APLICACIÓN DE RECURSOS DEUDA PUBLICA</t>
  </si>
  <si>
    <t>NO</t>
  </si>
  <si>
    <t>CONTRATO</t>
  </si>
  <si>
    <t>OBRA</t>
  </si>
  <si>
    <t>LOCALIDAD</t>
  </si>
  <si>
    <t>INVERSIÓN CONTRATADA</t>
  </si>
  <si>
    <t>INICIO</t>
  </si>
  <si>
    <t>TERMINACION</t>
  </si>
  <si>
    <t>INVERSION "PAGADO" EMPRESTITO</t>
  </si>
  <si>
    <t>AVANCES</t>
  </si>
  <si>
    <t>MODALIDAD</t>
  </si>
  <si>
    <t>TOTAL</t>
  </si>
  <si>
    <t>ESTATAL</t>
  </si>
  <si>
    <t>MPAL.</t>
  </si>
  <si>
    <t>OTROS RECURSOS</t>
  </si>
  <si>
    <t>FIS.</t>
  </si>
  <si>
    <t>FINAN.</t>
  </si>
  <si>
    <t>DGOP/ITS/FFM-004-2016</t>
  </si>
  <si>
    <t>PAVIMENTACIÓN DE LA CALLE EJIDO DE SAN FELIPE, COL. MONTE BLANCO</t>
  </si>
  <si>
    <t>CELAYA</t>
  </si>
  <si>
    <t>LICITACIÓN SIMPLIFICADA</t>
  </si>
  <si>
    <t>DGOP/ITS/FFM-005-2016</t>
  </si>
  <si>
    <t>PAVIMENTACIÓN DE LA CALLE ROMERAL</t>
  </si>
  <si>
    <t>SAN JOSÉ DE GUANAJUATO</t>
  </si>
  <si>
    <t>DGOP/ITS/FFM-006-2016</t>
  </si>
  <si>
    <t>PAVIMENTACIÓN DE LA CALLE CONSTITUYENTES</t>
  </si>
  <si>
    <t>LA AURORA</t>
  </si>
  <si>
    <t>DGOP/ITS/FFM-007-2016</t>
  </si>
  <si>
    <t>PAVIMENTACIÓN DE LA CALLE FRANCISCO MÁRQUEZ</t>
  </si>
  <si>
    <t>TENERÍA DEL SANTUARIO</t>
  </si>
  <si>
    <t>DGOP/ITS/IDF-056-2016</t>
  </si>
  <si>
    <t>ELECTRIFICACION DE LA CALLE ALBINO GARCIA COM. RINCON DE TAMAYO, MUNICIPIO DE CELAYA, GTO.</t>
  </si>
  <si>
    <t>RINCÓN DE TAMAYO</t>
  </si>
  <si>
    <t>ADJUDICACIÓN DIRECTA</t>
  </si>
  <si>
    <t>DGOP/ITS/IDF-062-2016</t>
  </si>
  <si>
    <t>PAVIMENTACIÓN DE LA CALLE EJIDO DE LA MACHUCA, COL. MONTEBLANCO</t>
  </si>
  <si>
    <t>DGOP/ITS/IDF-063-2016</t>
  </si>
  <si>
    <t>PAVIMENTACIÓN DE LA CALLE PÍPILA, LOCALIDAD SAN ELÍAS</t>
  </si>
  <si>
    <t>SAN ELIAS</t>
  </si>
  <si>
    <t>DGOP/ITS/IDF-064-2016</t>
  </si>
  <si>
    <t>PAVIMENTACIÓN DE LA CALLE HUERTA DE LOS NARANJOS, COL. LAS HUERTAS (PÓLIGONO COL. PEDRO MARÍA ANAYA)</t>
  </si>
  <si>
    <t>DGOP/ITS/IDF-065-2016</t>
  </si>
  <si>
    <t>PAVIMENTACIÓN DE LA CALLE IGNACIO ZARAGOZA, LOCALIDAD SAN ISIDRO CRESPO</t>
  </si>
  <si>
    <t>SAN ISIDRO DE CRESPO</t>
  </si>
  <si>
    <t>151-5-17</t>
  </si>
  <si>
    <t>DGOP/ITS/IDF-066-2016</t>
  </si>
  <si>
    <t>PAVIMENTACIÓN DE LA CALLE PINO SUAREZ, LOCALIDAD SAN JOSÉ DE GUANAJUATO</t>
  </si>
  <si>
    <t>DGOP/ITS/IDF-067-2016</t>
  </si>
  <si>
    <t>PAVIMENTACIÓN DE LA CALLE PLAN SEXENAL, COL. PATRIA NUEVA</t>
  </si>
  <si>
    <t>DGOP/ITS/IDF-068-2016</t>
  </si>
  <si>
    <t>PAVIMENTACIÓN DE CALLE CORONEL ELEUTERIO MENDEZ, COL. PEDRO MARÍA ANAYA</t>
  </si>
  <si>
    <t>DGOP/ITS-069-2016</t>
  </si>
  <si>
    <t>PAVIMENTO DE CONCRETO HIDRAULICO, GUARNICIONES Y BANQUETAS, CALLE FRANCISCO VILLA, TRAMO LAZARO CARDENAS - IGNACIO ALLENDE, COMUNIDAD SAN JOSE DE YUSTIS, MUNICIPIO DE CELAYA, GTO.</t>
  </si>
  <si>
    <t>SAN JOSE DE YUSTIS</t>
  </si>
  <si>
    <t>DGOP/ITS-070-2016</t>
  </si>
  <si>
    <t>PAVIMENTO DE CONCRETO HIDRAULICO, GUARNICIONES Y BANQUETAS, CALLE EUCALIPTO, TRAMO DIAZ ORDAZ - CHAPULTEPEC, COMUNIDAD DE GASCA, MUNICIPIO DE CELAYA, GTO.</t>
  </si>
  <si>
    <t>GASCA</t>
  </si>
  <si>
    <t>DGOP/ITS/IDF-077-2016</t>
  </si>
  <si>
    <t>ELECTRIFICACIÓN DE LA CALLE FRANCISCO MARQUEZ TRAMO: CAMPO DEPORTIVO A NIÑOS HEROES, COM. TENERIA DEL SANTUARIO, MUNICIPIO DE CELAYA, GTO.</t>
  </si>
  <si>
    <t>DGOP/ITS/IDF-083-2016</t>
  </si>
  <si>
    <t>ELECTRIFICACION DE LA CALLE SIN NOMBRE</t>
  </si>
  <si>
    <t>DGOP/ITS/IDF-089-2016</t>
  </si>
  <si>
    <t>PAVIMENTACIÓN DE LA CALLE HUERTA DE LOS CIRUELOS, COL. LAS HUERTAS (PÓLIGONO COL. PEDRO MARÍA ANAYA)</t>
  </si>
  <si>
    <t>FRACC. LAS HUERTAS</t>
  </si>
  <si>
    <t>DGOP/ITS/IDF-090-2016</t>
  </si>
  <si>
    <t>PAVIMENTACIÓN DE LA CALLE FRANCISCO J. MUJICA, COL PATRIA NUEVA</t>
  </si>
  <si>
    <t>COL. PATRIA NUEVA</t>
  </si>
  <si>
    <t>DGOP/ITS/IDF-091-2016</t>
  </si>
  <si>
    <t xml:space="preserve">PAVIMENTACIÓN DE LA CALLE NICOLAS BRAVO </t>
  </si>
  <si>
    <t>SAN MIGUEL OCTOPAN</t>
  </si>
  <si>
    <t>DGOP/ITS/IDF-092-2016</t>
  </si>
  <si>
    <t>PAVIMENTACIÓN DE LA CALLE EMILIANO ZAPATA</t>
  </si>
  <si>
    <t>SAN ISIDRO CRESPO</t>
  </si>
  <si>
    <t>DGOP/ITS/IDF-093-2016</t>
  </si>
  <si>
    <t>PAVIMENTACIÓN DE LA CALLE VICENTE GUERRERO</t>
  </si>
  <si>
    <t>DGOP/ITS/IDF-094-2016</t>
  </si>
  <si>
    <t>PAVIMENTACIÓN DE LA CALLE PLAN DE NAVIDAD DE LA COL. LAZARO CARDENAS</t>
  </si>
  <si>
    <t>DGOP/ITS/IDF-095-2016</t>
  </si>
  <si>
    <t>ESTRADA</t>
  </si>
  <si>
    <t>DGOP/ITS/IDF-096-2016</t>
  </si>
  <si>
    <t>PAVIMENTACIÓN DE LA CALLE V. CARRANZA</t>
  </si>
  <si>
    <t>SAN ELÍAS</t>
  </si>
  <si>
    <t>DGOP/ITS/IDF-097-2016</t>
  </si>
  <si>
    <t>PAVIMENTACIÓN DE LA CALLE GUANAJUATO</t>
  </si>
  <si>
    <t>DGOP/ITS/IDF-098-2016</t>
  </si>
  <si>
    <t>PAVIMENTACIÓN DE LA CALLE IGNACIO ALLENDE</t>
  </si>
  <si>
    <t>DGOP/ITS/IDF-099-2016</t>
  </si>
  <si>
    <t>PAVIMENTACIÓN DE LA CALLE EJIDO CERRO PRIETO, COL. MONTE BLANCO</t>
  </si>
  <si>
    <t>DGOP/ITS/IDF-100-2016</t>
  </si>
  <si>
    <t>PAVIMENTACIÓN DE LA CALLE EJIDO SEGUNDA FRACC. DE CRESPO, COL. MONTE BLANCO</t>
  </si>
  <si>
    <t>DGOP/ITS/IDF-101-2016</t>
  </si>
  <si>
    <t>PAVIMENTACIÓN DE LA CALLE LÁZARO CARDENAS</t>
  </si>
  <si>
    <t>DGOP/ITS/IDF-102-2016</t>
  </si>
  <si>
    <t xml:space="preserve">PAVIMENTACIÓN DE LA CALLE EMILIANO ZAPATA </t>
  </si>
  <si>
    <t>DGOP/ITS/IDF-103-2016</t>
  </si>
  <si>
    <t>PAVIMENTACIÓN DE LA CALLE NUEVO LEON</t>
  </si>
  <si>
    <t>DGOP/ITS/IDF-104-2016</t>
  </si>
  <si>
    <t xml:space="preserve">PAVIMENTACIÓN DE LA CALLE SEGUNDA PRIVADA DE LAS AMERICAS EN LA COL. LAS AMERICAS </t>
  </si>
  <si>
    <t>DGOP/ITS/IDF-105-2016</t>
  </si>
  <si>
    <t xml:space="preserve">PAVIMENTACIÓN DE LA CALLE FELIPE ÁNGELES, COM. PRIMERA FRACCIÓN DE CRESPO </t>
  </si>
  <si>
    <t>EL MOLINO</t>
  </si>
  <si>
    <t>DGOP/ITS/IDF-110-2016</t>
  </si>
  <si>
    <t>REHABILITACION DE ALUMBRADO PUBLICO SAN JUAN DE LA VEGA</t>
  </si>
  <si>
    <t>SAN JUAN DE LA VEGA</t>
  </si>
  <si>
    <t>DGOP/ITS/IDF-111-2016</t>
  </si>
  <si>
    <t>ALUMBRADO PUBLICO EN LA CALLE FRANCISCO I. MADERO, SAN ELIAS</t>
  </si>
  <si>
    <t>DGOP/ITS/IDF-115-2016</t>
  </si>
  <si>
    <t>PAVIMENTACION DE LA CALLE PLAN DE CORRALITOS DE LA COL. LAZARO CARDENAS</t>
  </si>
  <si>
    <t>DGOP/ITS/IDF-116-2016</t>
  </si>
  <si>
    <t>PAVIMENTACIÓN DE LA CALLE HERMANOS SERDÁN EN LA COL. EMILIANO ZAPATA</t>
  </si>
  <si>
    <t>DGOP/ITS/IDF-117-2016</t>
  </si>
  <si>
    <t>PAVIMENTO DE CONCRETO HIDRAULICO, GUARNICIONES Y BANQUETAS CALLE PARAISO, TRAMO: CALLE PERAL - CALLE ARRAYANES, COL. DEL BOSQUE 2DA. SECCIÓN, MUNICIPIO DE CELAYA, GTO.</t>
  </si>
  <si>
    <t>161-17</t>
  </si>
  <si>
    <t>DGOP/ITS/IDF-118-2016</t>
  </si>
  <si>
    <t>CONSTRUCCIÓN DE PAVIMENTO DE CONCRETO HIDRAULICO, GUARNICIONES Y BANQUETAS, CALLE FRANCISCO VILLA, TRAMO: DESDE DONDE TERMINA EL PAVIMENTO ACTUAL HASTA EL 0+340, COM. RINCÓN DE TAMAYO</t>
  </si>
  <si>
    <t>DGOP/ITS/IDF-124-2016</t>
  </si>
  <si>
    <t>PAVIMENTACIÓN DE LA PRIVADA PARA ACCESO AL SABES, COMUNIDAD DE SAN JOSÉ DE GUANAJUATO</t>
  </si>
  <si>
    <t>DGOP/ITS/IDF-129-2016</t>
  </si>
  <si>
    <t>PAVIMENTACIÓN DE LA CALLE OBREGÓN, COMUNIDAD DE SAN ANTONIO GALLARDO (POLIGONO SAN JUAN DE LA VEGA)</t>
  </si>
  <si>
    <t>SAN  JUAN DE LA VEGA</t>
  </si>
  <si>
    <t>DGOP/ITS/IDF-131-2016</t>
  </si>
  <si>
    <t>PAVIMENTACION DE LA CALLE MORELOS, COMUNIDAD DE SAN ELIAS</t>
  </si>
  <si>
    <t>DGOP/ITS/IDF-138-2016</t>
  </si>
  <si>
    <t>UNIDAD DEPORTIVA SAN JUAN DE LA VEGA, SEGUNDA ETAPA</t>
  </si>
  <si>
    <t>DGOP/ITS/IDF-139-2016</t>
  </si>
  <si>
    <t>2A. ETAPA DE PARQUE SAN ISIDRO CRESPO</t>
  </si>
  <si>
    <t>DGOP/ITS/IDF-140-2016</t>
  </si>
  <si>
    <t>2A. ETAPA DE PARQUE PATRIA NUEVA</t>
  </si>
  <si>
    <t>DGOP/IDF-001-2017</t>
  </si>
  <si>
    <t>REHABILITACIÓN AV. MANUEL J. CLOUTHIER (TRAMO AV. SALVADOR ORTEGA A AV. TECNOLÓGICO)</t>
  </si>
  <si>
    <t>LICITACIÓN PÚBLICA</t>
  </si>
  <si>
    <t>DGOP/IDF-002-2017</t>
  </si>
  <si>
    <t>REHABILITACIÓN AV. MANUEL J. CLOUTHIER (TRAMO: AV. EL SAUZ A AV. SALVADOR ORTEGA)</t>
  </si>
  <si>
    <t>DGOP/IDF-003-2017</t>
  </si>
  <si>
    <t>REHABILITACIÓN AV. MANUEL J. CLOUTHIER (ALUMBRADO PÚBLICO TRAMO: AV. EL SAUZ A AV. LAS TORRES)</t>
  </si>
  <si>
    <t>DGOP/ITS/IDF-012-2017</t>
  </si>
  <si>
    <t>PARQUE DE CONVIVENCIA SOCIAL COLONIA MONTEBLANCO</t>
  </si>
  <si>
    <t>DGOP/ITS/IDF-013-2017</t>
  </si>
  <si>
    <t>PAVIMENTACION DE LA CALLE ALBINO GARCIA, LOCALIDAD RINCÓN DE TAMAYO</t>
  </si>
  <si>
    <t>DGOP/ITS/IDF-014-2017</t>
  </si>
  <si>
    <t>PAVIMENTACION DE LA CALLE CONVENTO DE CHURUBUSCO EN LAS COL. PEDRO MARIA ANAYA Y LAS HUERTAS (POLIGONO COL. PEDRO MARIA ANAYA)</t>
  </si>
  <si>
    <t>DGOP/ITS/IDF-015-2017</t>
  </si>
  <si>
    <t>PAVIMENTACION DE LA CALLE ADELFA, EN LA COL. DEL BOSQUE 3A SECCION</t>
  </si>
  <si>
    <t>DGOP/ITS/IDF-016-2017</t>
  </si>
  <si>
    <t>PAVIMENTACION DE LAS CALLES NICOLAS BRAVO, CERRITO Y LAS CRUCES, EN LA COMUNIDAD DE SANTA MARIA DEL REFUGIO</t>
  </si>
  <si>
    <t>SANTA MARIA DEL REFUGIO</t>
  </si>
  <si>
    <t>DGOP/ITS/IDF-019-2017</t>
  </si>
  <si>
    <t>PAVIMENTACIÓN DE LA CALLE VICENTE GUERRERO EN LA COMUNIDAD DE SAN CAYETANO</t>
  </si>
  <si>
    <t>SAN CAYETANO</t>
  </si>
  <si>
    <t>DGOP/ITS/IDF-023-2017</t>
  </si>
  <si>
    <t>PAVIMENTACION DE LA CALLE PENJAMO, EN LA COL. LAS AMERICAS</t>
  </si>
  <si>
    <t>DGOP/ITS/IDF-025-2017</t>
  </si>
  <si>
    <t>PAVIMENTACION DE LA CALLE PUEBLO NUEVO, EN LA COL. LAS AMERICAS</t>
  </si>
  <si>
    <t>DGOP/ITS/IDF-034-2017</t>
  </si>
  <si>
    <t>PAVIMENTACIÓN DE LA CALLE GUADALUPE VICTORIA, LOCALIDAD DE SAN JUAN DE LA VEGA EN EL MUNICIPIO DE CELAYA, GTO.</t>
  </si>
  <si>
    <t>DGOP/ITS/IDF-035-2017</t>
  </si>
  <si>
    <t>SAN JOSÉ EL NUEVO</t>
  </si>
  <si>
    <t>DGOP/ITS/IDF-036-2017</t>
  </si>
  <si>
    <t xml:space="preserve">PAVIMENTACIÓN DE LA CALLE PRIMERA PRIVADA 5 DE MAYO </t>
  </si>
  <si>
    <t>PRIMERA FRACCIÓN DE CRESPO (EL MOLINO)</t>
  </si>
  <si>
    <t>DGOP/ITS/IDF-037-2017</t>
  </si>
  <si>
    <t>PAVIMENTACIÓN  DE LA CALLE HUERTA DE LOS DURAZNOS, COL. LAS HUERTAS (PILOGONO PEDRO MARIA ANAYA)</t>
  </si>
  <si>
    <t>COLONIA PEDRO MARIA ANAYA</t>
  </si>
  <si>
    <t>DGOP/ITS/IDF-038-2017</t>
  </si>
  <si>
    <t>PAVIMENTACIÓN DE LA CALLE REFORMA EN LA COL. AMPLIACIÓN EMILIANO ZAPATA (POLIGONO COL. EMILIANO ZAPATA)</t>
  </si>
  <si>
    <t>DGOP/ITS/IDF-039-2017</t>
  </si>
  <si>
    <t>PAVIMENTACIÓN DE LA CALLE RÍO  TEHUANTEPEC DE LA COL. PROGRESO SOLIDARIDAD</t>
  </si>
  <si>
    <t>DGOP/ITS/IDF-040-2017</t>
  </si>
  <si>
    <t>PAVIMENTACIÓN DE LA CALLE  OLMO  DE LA COL. ARBOLEDAS DE SAN MARTÍN CAMARGO (COL. SAN MARTIN DE CAMARGO)</t>
  </si>
  <si>
    <t>DGOP/ITS/IDF-041-2017</t>
  </si>
  <si>
    <t>PAVIMENTACION DE LA CALLE IGNACIO ALLENDE</t>
  </si>
  <si>
    <t>PRESA BLANCA</t>
  </si>
  <si>
    <t>DGOP/ITS/IDF-042-2017</t>
  </si>
  <si>
    <t>PAVIEMNTACION CALLE ALVARO OBREGON</t>
  </si>
  <si>
    <t>DGOP/ITS/IDF-043-2017</t>
  </si>
  <si>
    <t>PAVIMENTACIÓN DE LA CALLE EUSEBIO GONZÁLEZ EN LA COL. LAS AMÉRICAS</t>
  </si>
  <si>
    <t>COL LAS AMERICAS</t>
  </si>
  <si>
    <t>DGOP/ITS/IDF-053-2017</t>
  </si>
  <si>
    <t>PAVIMENTACIÓN DE LA CALLE AMADOR SALAZAR EN LA COL. AMPLIACIÓN EMILIANO ZAPATA (POLIGONO COL. EMILIANO ZAPATA)</t>
  </si>
  <si>
    <t>DGOP/ITS/IDF-054-2017</t>
  </si>
  <si>
    <t>PAVIMENTACIÓN DE LA CALLE MADRID  DE LA COL. AMPLIACIÓN CAMARGO (COL. SAN MARTÍN DE CAMARGO)</t>
  </si>
  <si>
    <t>DGOP/ITS/IDF-055-2017</t>
  </si>
  <si>
    <t>PAVIMENTACIÓN DE LA CALLE PASCUAL OROZCO, EN LA COMUNIDAD DE 1A FRACCIÓN DE CREPO, EN EL MINICIPIO DE CELAYA, GTO.</t>
  </si>
  <si>
    <t>DGOP/ITS/IDF-056-2017</t>
  </si>
  <si>
    <t>PAVIMENTACIÓN DE LA CALLE ADOLFO LOPEZ MATEOS</t>
  </si>
  <si>
    <t>SANTA TERESA</t>
  </si>
  <si>
    <t>DGOP/ITS/IDF-057-2017</t>
  </si>
  <si>
    <t>PAVIMENTACIÓN DE LA CALLE PARIS DE LA COL. AMPLIACIÓN CAMARGO (COL. SAN MARTIN DE CAMARGO)</t>
  </si>
  <si>
    <t>DGOP/ITS/IDF-058-2017</t>
  </si>
  <si>
    <t>PAVIMENTACIÓN DE LA CALLE HUIZACHE DE LA COL. DEL BOSQUE 1RA SECCIÓN</t>
  </si>
  <si>
    <t>DGOP/ITS/IDF-059-2017</t>
  </si>
  <si>
    <t>PAVIMENTACIÓN DE LA CALLE MANGLE DE LA COL. DEL BOSQUE 1RA SECC.</t>
  </si>
  <si>
    <t>DGOP/ITS/IDF-060-2017</t>
  </si>
  <si>
    <t>PAVIMENTACIÓN DE LA CALLE MENTA EN LA COL. DEL BOSQUE 3RA SECC</t>
  </si>
  <si>
    <t>DGOP/ITS/IDF-061-2017</t>
  </si>
  <si>
    <t>PAVIMENTACIÓN DE LA CALLE FRANCISCO VILLA</t>
  </si>
  <si>
    <t>DGOP/ITS/IDF-062-2017</t>
  </si>
  <si>
    <t>PAVIMENTACIÓN DE LA CALLE AVENIDA DEL TRABAJO</t>
  </si>
  <si>
    <t>SAN ISIDRO DE LA CONCEPCIÓN</t>
  </si>
  <si>
    <t>DGOP/ITS/IDF-071-2017</t>
  </si>
  <si>
    <t>ALUMBRADO PÚBLICO DEL CAMINO DE SAN ELÍAS A SANTA TERESA</t>
  </si>
  <si>
    <t>DGOP/ITS/IDF-072-2017</t>
  </si>
  <si>
    <t>PAVIMENTACION DE LA CALLE PASEO DE GUANAJUATO DE LA COL. BOSQUE 2DA SECC</t>
  </si>
  <si>
    <t>DGOP/ITS/IDF-073-2017</t>
  </si>
  <si>
    <t>PAVIMENTACION DE LA CALLE CHABACANO DE LA COL. DEL BOSQUE 2DA SECC</t>
  </si>
  <si>
    <t>DGOP/ITS/IDF-076-2017</t>
  </si>
  <si>
    <t>COMPLEMENTACIÓN DE ALUMBRADO PÚBLICO EN CALLE PRIMERA PRIVADA DE LAS AMERICAS DE LA COL. LAS AMERICAS</t>
  </si>
  <si>
    <t>DGOP/ITS/IDF-077-2017</t>
  </si>
  <si>
    <t>PAVIMENTACIÓN DE LA CALLE INGLATERRA  DE LA COL. AMPLIACIÓN CAMARGO (COL. SAN MARTÍN DE CAMARGO)</t>
  </si>
  <si>
    <t>DGOP/ITS/IDF-080-2017</t>
  </si>
  <si>
    <t>PAVIMENTACIÓN DE LA CALLE MOSCU DE LA COL. AMPLIACIÓN CAMARGO (COL. SAN MARTIN DE CAMARGO)</t>
  </si>
  <si>
    <t>DGOP/ITS/IDF-081-2017</t>
  </si>
  <si>
    <t>PAVIMENTACIÓN DE LA CALLE BAMBÚ DE LA COL. DEL BOSQUE 1RA. SECC.</t>
  </si>
  <si>
    <t>DGOP/ITS/IDF-082-2017</t>
  </si>
  <si>
    <t>PAVIMENTACION DE LA CALLE BARCELONA DE LA COL. AMPLIACIÓN CAMARGO (COL. SAN MARTIN DE CAMARGO)</t>
  </si>
  <si>
    <t>DGOP/ITS/IDF-088-2017</t>
  </si>
  <si>
    <t>PAVIMENTACION DE LA CALLE BENITO JUAREZ DE LA COL. SAN MARTIN DE CAMARGO</t>
  </si>
  <si>
    <t>DGOP/ITS/IDF-089-2017</t>
  </si>
  <si>
    <t>PAVIMENTACION DE LA CALLE VALENCIA DE LA COL. AMPLIACION CAMARGO (COL. SAN MARTIN DE CAMARGO)</t>
  </si>
  <si>
    <t>DGOP/ITS/IDF-090-2017</t>
  </si>
  <si>
    <t>PAVIMENTACION DE LA CALLE PROLONGACION ALVARO OBREGON DE LA COL. SAN MARTIN DE CAMARGO</t>
  </si>
  <si>
    <t>DGOP/ITS/IDF-091-2017</t>
  </si>
  <si>
    <t>PAVIMENTACION DE LA AVENIDA SAN JUAN</t>
  </si>
  <si>
    <t>DGOP/ITS/IDF-092-2017</t>
  </si>
  <si>
    <t>PAVIMENTACION DE LA CALLE BENITO JUAREZ</t>
  </si>
  <si>
    <t>EL SAUZ (EL SAUZ DE VILLASEÑOR)</t>
  </si>
  <si>
    <t>DGOP/ITS/IDF-093-2017</t>
  </si>
  <si>
    <t>PAVIMENTACION DE LA CALLE HAYA DE LA COL. DEL BOSQUE 1RA. SECC.</t>
  </si>
  <si>
    <t>COL. DEL BOSQUE</t>
  </si>
  <si>
    <t>DGOP/ITS/IDF-094-2017</t>
  </si>
  <si>
    <t>PAVIMENTACION DE LA CALLE MIGUEL HIDALGO COM. SANTA TERESA</t>
  </si>
  <si>
    <t>DGOP/ITS/IDF-095-2017</t>
  </si>
  <si>
    <t>PAVIMENTACION DE LA CALLE INDUSTRIA ELECTRICA, COM. EL BECERRO (SANTOS DEGOLLADO)</t>
  </si>
  <si>
    <t>EL BECERRO (SANTOS DEGOLLADO)</t>
  </si>
  <si>
    <t>DGOP/ITS/IDF-096-2017</t>
  </si>
  <si>
    <t>PAVIMENTACION DEL BOULEVARD ADOLFO LÓPEZ MATEOS Y CALLE CALLE IGNACIO ALLENDE</t>
  </si>
  <si>
    <t>JAUREGUI</t>
  </si>
  <si>
    <t>DGOP/ITS/IDF-097-2017</t>
  </si>
  <si>
    <t>PAVIMENTACIÓN DE LA CALLE AMBROSIO FIGUEROA EN LA COL. AMPLIACIÓN EMILIANO ZAPATA (POLIGONO COL. EMILIANO ZAPATA)</t>
  </si>
  <si>
    <t>COL. EMILIANO ZAPATA</t>
  </si>
  <si>
    <t>DGOP/ITS/IDF-098-2017</t>
  </si>
  <si>
    <t>PAVIMENTACION DE LA CALLE FRANCISCO I MADERO EL BECERRO (SANTOS DEGOLLADO)</t>
  </si>
  <si>
    <t>EL BECERRO</t>
  </si>
  <si>
    <t>DGOP/ITS/IDF-099-2017</t>
  </si>
  <si>
    <t>PAVIMENTACION DE LA CALLE MIGUEL HIDALGO</t>
  </si>
  <si>
    <t>DGOP/ITS/IDF-103-2017</t>
  </si>
  <si>
    <t>PAVIMENTACIÓN DE LA CALLE ELISEO RODRIGUEZ</t>
  </si>
  <si>
    <t>DGOP/ITS/IDF-110-2017</t>
  </si>
  <si>
    <t>PAVIMENTACION DE LA CALLE NIÑO PERDIDO</t>
  </si>
  <si>
    <t>DGOP/ITS/IDF-111-2017</t>
  </si>
  <si>
    <t>PAVIMENTACIÓN DE LA CALLE MARIANO JIMENEZ LOC. SANTA MARÍA DEL REFUGIO</t>
  </si>
  <si>
    <t>SANTA MARÍA DEL REFUGIO</t>
  </si>
  <si>
    <t>DGOP/IDF-112-2017</t>
  </si>
  <si>
    <t>PAVIMENTACIÓN DE LA CALLE MEZQUITE DE KLA COL. DEL BOSQUE 1RA. SECC.</t>
  </si>
  <si>
    <t>DGOP/ITS/IDF-113-2017</t>
  </si>
  <si>
    <t>PAVIMENTACIÓN DE LA CALLE ALDAMA LOC. SANTA TERESA</t>
  </si>
  <si>
    <t>DGOP/IDF-114-2017</t>
  </si>
  <si>
    <t>PAVIMENTACIÓN DE LA CALLE AGUACATE COL. DEL BOSQUE 2DA. SECC.</t>
  </si>
  <si>
    <t>DGOP/ITS-115-2017</t>
  </si>
  <si>
    <t>PAVIMENTACIÓN DE LA CALLE IRAPUATO EN LA COL. SANTA MARÍA</t>
  </si>
  <si>
    <t>DGOP/ITS-116-2017</t>
  </si>
  <si>
    <t>PAVIMENTACIÓN DE LA CALLE VILLAGRAN EN LA COL. SANTA MARÍA</t>
  </si>
  <si>
    <t>DGOP/ITS-117-2017</t>
  </si>
  <si>
    <t>PAVIMENTACIÓN DE LA CALLE PRESA DE LA ESPERANZA EN LA COL. ALFFREDO BONFIL</t>
  </si>
  <si>
    <t>DGOP/ITS/IDF-118-2017</t>
  </si>
  <si>
    <t>PAVIMENTACIÓN DE LA CALLE PIPILA COL. ARBOLEDAS DE SAN MARTÍN DE CAMARGO (COL. SAN MARTÍN DE CAMARGO)</t>
  </si>
  <si>
    <t>DGOP/ITS/IDF-119-2017</t>
  </si>
  <si>
    <t>PAVIMENTACIÓN DE LA CALLE PLAN DE SAN LUIS DE LA COL. EMILIANO ZAPATA</t>
  </si>
  <si>
    <t>DGOP/ITS/IDF-120-2017</t>
  </si>
  <si>
    <t>PAVIMENTACIÓN DE LA CALLE GUAYABO DE LAS COL. DEL BOSQUE 2DA. SECC. Y DEL BOSQUE 3RA. SECC.</t>
  </si>
  <si>
    <t>DGOP/ITS/IDF-121-2017</t>
  </si>
  <si>
    <t>PAVIMENTACIÓN DE LA CALLE MIGUEL HIDALGO</t>
  </si>
  <si>
    <t>DGOP/ITS/IDF-124-2017</t>
  </si>
  <si>
    <t>PAVIMENTACION DE LA CALLE BONIFACIO GARCÍA DE LA COL. AMPLIACIÓN EMILIANO ZAPATA (POLÍGONO COL EMILIANO ZAPATA)</t>
  </si>
  <si>
    <t>DGOP/ ITS/IDF-127-2017</t>
  </si>
  <si>
    <t>PAVIMENTACION DE LA CALLE MISPERO DE LA COL. DEL BOSQUE 2DA. SECC.</t>
  </si>
  <si>
    <t>COL. DEL BOSQUE 2A. SECCION</t>
  </si>
  <si>
    <t>DGOP/ITS/IDF-128-2017</t>
  </si>
  <si>
    <t>PAVIMENTACIÓN CALLE PIRUL DE LA COL. ARBOLEDAS DE SAN MARTÍN DE CAMARGO (COL. SAN MARTÍN DE CAMARGO)</t>
  </si>
  <si>
    <t>DGOP/ITS/IDF-131-2017</t>
  </si>
  <si>
    <t>PAVIMENTACIÓN DE LA CALLE BERLIN DE LA COL. AMPLIACION CAMARGO (COL. SAN MARTÍN DE CAMARGO)</t>
  </si>
  <si>
    <t>DGOP/ITS/IDF-132-2017</t>
  </si>
  <si>
    <t>PAVIMENTACION DE LA PRIVADA RAMOS MILLAN EN LA COL. LAS AMERICAS</t>
  </si>
  <si>
    <t>COL. LAS AMERICAS</t>
  </si>
  <si>
    <t>DGOP/ITS/IDF-133-2017</t>
  </si>
  <si>
    <t>PAVIMENTACION DE LA CALLE PLAZA DE LA INDEPENDENCIA</t>
  </si>
  <si>
    <t>DGOP/ITS/IDF-134-2017</t>
  </si>
  <si>
    <t>PAVIMENTACIÓN DE LA CALLE BENITO JUAREZ LOC. SANTA TERESA</t>
  </si>
  <si>
    <t>DGOP/ITS/IDF-135-2017</t>
  </si>
  <si>
    <t>PAVIMENTACIÓN DE LA CALLE EJIDO DE LAS MAGDALENAS DE LA COL. EJIDAL</t>
  </si>
  <si>
    <t>DGOP/ITS/IDF-136-2017</t>
  </si>
  <si>
    <t>ELECTRIFICACIÓN DE LA CALLE GUADALUPE TRAMO: ALVARO OBREGON A PARCELAS</t>
  </si>
  <si>
    <t>PRIMERA FRACCIÓN DE CRESPO(EL MOLINO)</t>
  </si>
  <si>
    <t>DGOP/ITS/IDF-137-2017</t>
  </si>
  <si>
    <t>ELECTRIFICACIÓN DE LA CALLE INSURGENTES COMUNIDAD DE PRIMERA FRACCIÓN DE CRESPO (EL MOLINO)</t>
  </si>
  <si>
    <t>DGOP/ITS/IDF-138-2017</t>
  </si>
  <si>
    <t>PAVIMENTACIÓN DE LA CALLE SEGUNDA DE CACAO EN LA COL.DEL BOSQUE 3A. SECC.</t>
  </si>
  <si>
    <t>DGOP/IDF-139-2017</t>
  </si>
  <si>
    <t>PAVIMENTACIÓN DE LA CALLE EJIDO DE LA CRUZ CUERPO PONIENTE EN LA COL. EJIDAL</t>
  </si>
  <si>
    <t>DGOP/ITS/IDF-140-2017</t>
  </si>
  <si>
    <t>REHABILITACIÓN DEL JARDIN PRINCIPAL COM. SAN JUAN DE LA VEGA</t>
  </si>
  <si>
    <t>DGOP/ITS/IDF-144-2017</t>
  </si>
  <si>
    <t>PAVIMENTACIÓN DE LA CALLE ROBERTO OLIVEROS Y DIAZ ORDAZ</t>
  </si>
  <si>
    <t>DGOP/ITS/IDF-146-2017</t>
  </si>
  <si>
    <t>PAVIMENTACION DE LA CALLE REVOLUCION</t>
  </si>
  <si>
    <t>DGOP/IDF-148-2017</t>
  </si>
  <si>
    <t>MODULO DEPORTIVO MULTIDICIPLINARIO COM. PRIMERA FRACCIÓN DE CRESPO (EL MOLINO)</t>
  </si>
  <si>
    <t>PRIMERA FRACCIÓN DE CRESPO( EL MOLINO)</t>
  </si>
  <si>
    <t>DGOP/ITS/IDF-149-2017</t>
  </si>
  <si>
    <t>PAVIMENTACIÓN DE LA CALLE PLAN DE TUXTEPEC DE LA COLONIA LAZARO CARDENAS</t>
  </si>
  <si>
    <t>DGOP/ITS/IDF-150-2017</t>
  </si>
  <si>
    <t>PAVIMENTACIÓN DE LA CALLE 16 DE SEPTIEMBRE EL BECERRO (SANTOS DEGOLLADO)</t>
  </si>
  <si>
    <t>DGOP/ITS/IDF-151-2017</t>
  </si>
  <si>
    <t>PAVIMENTACIÓN DE LA CALLE  DEPORTIVA</t>
  </si>
  <si>
    <t>DGOP/ITS/IDF-152-2017</t>
  </si>
  <si>
    <t>PAVIMENTACIÓN DE LA CALLE BENITO JUAREZ</t>
  </si>
  <si>
    <t>SAN NICOLAS ESQUIROS</t>
  </si>
  <si>
    <t>DGOP/ITS/IDF-153-2017</t>
  </si>
  <si>
    <t>REHABILITACIÓN DE ESPACIO PÚBLICO, COM. PRESA BLANCA</t>
  </si>
  <si>
    <t>DGOP/ITS/IDF-154-2017</t>
  </si>
  <si>
    <t>AMPLIACIÓN DE ESPACIO PÚBLICO, JARDÍN PRINCIPAL COM. EL SAUZ (EL SAUZ DE VILLASEÑOR)</t>
  </si>
  <si>
    <t>EL SAUZ ( EL SAUZ DE VILLASEÑOR)</t>
  </si>
  <si>
    <t>DGOP/ITS/IDF-155-2017</t>
  </si>
  <si>
    <t>CONSTRUCCIÓN DE PARQUE DE CONVIVENCIA SOCIAL, COM. SAN ELÍAS</t>
  </si>
  <si>
    <t>DGOP/ITS/IDF-156-2017</t>
  </si>
  <si>
    <t>REHABILITACIÓN DE CANCHAS Y GIMNASIO AL AIRE LIBRE EN LA UNIDAD DEPORTIVA EMILIANO ZAPATA, CELAYA, GTO.</t>
  </si>
  <si>
    <t>DGOP/ITS/IDF-157-2017</t>
  </si>
  <si>
    <t>PAVIMENTACIÓN DE LA CALLE EJIDO DE SANTA CLARA EN LA COL. EJIDAL</t>
  </si>
  <si>
    <t>COL. EJIDAL</t>
  </si>
  <si>
    <t>DGOP/ITS-158-2017</t>
  </si>
  <si>
    <t>PAVIMENTACIÓN DE LA CALLE  LAZARO CARDENAS EN LA COL. EMILIANO ZAPATA</t>
  </si>
  <si>
    <t>DGOP/ITS/IDF-159-2017</t>
  </si>
  <si>
    <t>PAVIMENTACIÓN DE LA CALLE RIO COATZACOALCOS, EN LA COL. PROGRESO SOLIDARIDAD</t>
  </si>
  <si>
    <t>COL. PROGRESO SOLIDARIDAD</t>
  </si>
  <si>
    <t>DGOP/ITS/IDF-160-2017</t>
  </si>
  <si>
    <t>PAVIMENTACIÓN DE LA CALLE REPARTO AGRARIO COL. PATRIA NUEVA</t>
  </si>
  <si>
    <t>DGOP/ITS/IDF-161-2017</t>
  </si>
  <si>
    <t>PAVIMENTACIÓN DE LA CALLE PIPILA PRIMERA FRACCIÓN DE CRESPO(EL MOLINO)</t>
  </si>
  <si>
    <t>DGOP/ITS/IDF-162-2017</t>
  </si>
  <si>
    <t>PAVIMENTACIÓN DE LA CALLE CUAUHTEMOC PRIMERA FRACCIÓN DE CRESPO(EL MOLINO)</t>
  </si>
  <si>
    <t>DGOP/ITS/IDF-163-2017</t>
  </si>
  <si>
    <t>DGOP/ITS/IDF-164-2017</t>
  </si>
  <si>
    <t>AMPLIACIÓN DE JARDIN PRINCIPAL COM. EL BECERRO (SANTOS DEGOLLADO)</t>
  </si>
  <si>
    <t>DGOP/ITS/IDF-165-2017</t>
  </si>
  <si>
    <t>PAVIMENTACIÓN DE LA CALLE JOSÉ VASCONCELOS Y CALLE PROLONGACIÓNJOSÉ VASCONCELOS PRIMERA FRACCIÓN DE CRESPO (EL MOLINO)</t>
  </si>
  <si>
    <t>DGOP/ITS/IDF-166-2017</t>
  </si>
  <si>
    <t>REHABILITACIÓN DE ESPACIO DEPORTIVO (REUBICACIÓN DE CANCHA DE FUTBOL, GIMNASIO AL AIRE LIBRE, TROTAPISTA) PRIMERA FRACCÓN DE CRESPO (EL MOLINO)</t>
  </si>
  <si>
    <t>DGOP/ITS/IDF-167-2017</t>
  </si>
  <si>
    <t>CONSTRUCCIÓN DE PARQUE DE CONVIVENCIA SOCIAL SAN ELIAS (GIMNASIO AL AIRE LIBRE, TROTAPISTA) SAN ELIAS</t>
  </si>
  <si>
    <t>DGOP/ITS/IDF-169-2017</t>
  </si>
  <si>
    <t>ELECTRIFICACIÓN DE LA CALLE JAIME NUNO EL SAUZ (EL SAUZ DE VILLASEÑOR)</t>
  </si>
  <si>
    <t>EL SAUZ DE VILLASEÑOR</t>
  </si>
  <si>
    <t>ELECTRIFICACIÓN DE LA CALLE SAN ISIDRO EL SAUZ (EL SAUZ DE VILLASEÑOR)</t>
  </si>
  <si>
    <t>DGOP/IDF-170-2017</t>
  </si>
  <si>
    <t>DGOP/ITS/IDF-172-2017</t>
  </si>
  <si>
    <t>ELECTRIFICACIÓN DE CALLE EJIDO DE LAS MAGDALENAS DE LA COL. EJIDAL</t>
  </si>
  <si>
    <t>DGOP/ITS/IDF-174-2017</t>
  </si>
  <si>
    <t>PAVIMENTACIÓN DE LA CALLE IGNACIO MAYA EN LA COL. EILIANO ZAPATA</t>
  </si>
  <si>
    <t>DGOP/ITS/IDF-175-2017</t>
  </si>
  <si>
    <t>PAVIMENTACIÓN DE LA AVENIDA JUAN JOSÉ TORRES LANDA COM. EL BECERRO (SANTOS DEGOLLADO)</t>
  </si>
  <si>
    <t>LICITACION PUBLICA</t>
  </si>
  <si>
    <t>DGOP/ITS/IDF-178-2017</t>
  </si>
  <si>
    <t>PAVIMENTACION DE LA CALLE MAURICIO CLARK</t>
  </si>
  <si>
    <t>DGOP/IDF-179-2017</t>
  </si>
  <si>
    <t>COL. LAZARO CÁRDENAS</t>
  </si>
  <si>
    <t>DGOP/ITS/IDF-181-2017</t>
  </si>
  <si>
    <t>PAVIMENTACIÓN DE LA CALLE  GERANIOS COM. JAUREGUI</t>
  </si>
  <si>
    <t>DGOP/ITS/IDF-187-2017</t>
  </si>
  <si>
    <t>ALUMBRADO PÚBLICO DE LA CALLE LAZARO CARDENAS (ACCESO A TELESECUNDARIA) COM. PRESA BLANCA</t>
  </si>
  <si>
    <t>DGOP/ITS/IDF-193-2017</t>
  </si>
  <si>
    <t>CONSTRUCCIÓN DE PARQUE DE CONVIVENCIA SOCIAL TENERIA DEL SANTUIARIO</t>
  </si>
  <si>
    <t>TENERIA DEL SANTUARIO</t>
  </si>
  <si>
    <t>DGOP/ITS/IDF-192-2017</t>
  </si>
  <si>
    <t>DGOP/ITS/IDF-194-2017</t>
  </si>
  <si>
    <t>REHABILITACIÓN DE ESPACIO PÚBLICO EN LA COL. PROGRESO SOLIDARIDAD</t>
  </si>
  <si>
    <t>COL. PROGERESO SOLIDARIDAD</t>
  </si>
  <si>
    <t>DGOP/ITS/IDF-195-2017</t>
  </si>
  <si>
    <t>REHABILITACIÓN DE ESPACIO DEPORTIVO SAN MIGUEL OCTOPAN</t>
  </si>
  <si>
    <t>DGOP/ITS/IDF-196-2017</t>
  </si>
  <si>
    <t>DGOP/ITS/IDF-197-2017</t>
  </si>
  <si>
    <t>COL. LAZARO CARDENAS</t>
  </si>
  <si>
    <t>DGOP/ITS/IDF-198-2017</t>
  </si>
  <si>
    <t>COL. DEL BOSQUE 2DA. SECC.</t>
  </si>
  <si>
    <t>DGOP/ITS/IDF-199-2017</t>
  </si>
  <si>
    <t>PAVIMENTACIÓN DE LA CALLE NIÑOS HEROES, COL. SANTA MARÍA DEL REFUGIO</t>
  </si>
  <si>
    <t>DGOP/ITS/IDF-200-2017</t>
  </si>
  <si>
    <t>PAVIMENTACIÓN DE LA CALLE RÍO ATOYAC DE LA COL. PROGRESO SOLIDARIDAD</t>
  </si>
  <si>
    <t>DGOP/ITS/IDF-201-2017</t>
  </si>
  <si>
    <t>REHABILITACIÓN DEL CAMINO DE ACCESO A LA COMUNIDAD DE ESTRADA</t>
  </si>
  <si>
    <t>DGOP/ITS/IDF-202-2017</t>
  </si>
  <si>
    <t>PAVIMENTACIÓN DE LA CALLE LICENCIADO JOSÉ VASCONCELOS, COM. EL SAUZ (EL SAUZ DE VILLASEÑOR)</t>
  </si>
  <si>
    <t>DGOP/ITS/IDF-203-2017</t>
  </si>
  <si>
    <t>CONSTRUCCIÓN DE GUARNICONES, BANQUETAS Y CICLOVÍA EN CALLE MIGUEL HIDALGO COM. SAN JOSÉ EL NUEVO</t>
  </si>
  <si>
    <t>DGOP/ITS/IDF-205-2017</t>
  </si>
  <si>
    <t xml:space="preserve">PAVIMENTACIÓN DE LA CALLE IGNACIO ALLENDE </t>
  </si>
  <si>
    <t>DGOP/ITS/IDF-206-2017</t>
  </si>
  <si>
    <t>CONSTRUCCIÓN DE TECHADO EN CANCHA Y GIMNASIO AL AIRE LIBRE EN ESPACIO PÚBLICO DE LA COMUNIDAD DE SAN CAYETANO</t>
  </si>
  <si>
    <t>DGOP/ITS/IDF-207-2017</t>
  </si>
  <si>
    <t>ALUMBRADO DEL CAMINO DE ACCESO, COMUNIDAD DE SAN JOSE EL NUEVO</t>
  </si>
  <si>
    <t>SAN JOSE EL NUEVO</t>
  </si>
  <si>
    <t>20 abe 18</t>
  </si>
  <si>
    <t>DGOP/ITS/IDF-208-2017</t>
  </si>
  <si>
    <t>PAVIMENTACIÓN DE LA CALLE NICOLAS BRAVO</t>
  </si>
  <si>
    <t>DGOP/IDF-217-2017</t>
  </si>
  <si>
    <t>ALUMBRADO PÚBLICO DEL CAMINO DE ACCESO A PRESA BLANCA</t>
  </si>
  <si>
    <t>DGOP/ITS/IDF-219-2017</t>
  </si>
  <si>
    <t>ALUMBRADO DE CALLE CAMINO A SAN MIGUEL OCTOPAN DE LA COL. CIUDAD INDUSTRIAL (POLÍGONO DE LA COLONIA EMILIANO ZAPATA)</t>
  </si>
  <si>
    <t>DGOP/ITS/IDF-220-2017</t>
  </si>
  <si>
    <t>PAVIMENTACIÓN DE LAS CALLES LUIS DONALDO COLOSIO, MATAMOROS Y CORREGIDORA. SAN NICOLAS ESQUIROS</t>
  </si>
  <si>
    <t>DGOP/IDF-221-2017</t>
  </si>
  <si>
    <t>PAVIMENTACIÓN DE LA CALLE ZARAGOZA</t>
  </si>
  <si>
    <t>DGOP/ITS/IDF-222-2017</t>
  </si>
  <si>
    <t>CONSTRUCCIÓN DE PARQUE DE CONVIVENCIA SOCIAL EN LA COMUNIDAD DE JAUREGUI (CANCHA DE FUTBOL, GIMNASIO AL AIRE LIBRE Y OBRA COMPLEMENTARIA)</t>
  </si>
  <si>
    <t>DGOP/ITS/IDF-226-2017</t>
  </si>
  <si>
    <t>PAVIMENTACIÓN DE LA CALLE RIO BRAVO DE LA COL. ARBOLEDAS DE SAN MARTÍN DE CAMARGO (COL. SAN MARTÍN DE CAMARGO)</t>
  </si>
  <si>
    <t>DGOP/ITS/IDF-231-2017</t>
  </si>
  <si>
    <t>ALUMBRADO PÚBLICO EN LA COL. SANTA TERESITA</t>
  </si>
  <si>
    <t>DGOP/ITS/IDF-232-2017</t>
  </si>
  <si>
    <t>ALUMBRADO DE LA CALLE FRANCISCO VILLA</t>
  </si>
  <si>
    <t>DGOP/IDF-233-2017</t>
  </si>
  <si>
    <t>ALUMBRADO PÚBLICO DE LLA CALLE IGNACIO ALLENDE, COM. SAN NICOLAS ESQUIROS</t>
  </si>
  <si>
    <t>DGOP/IDF-234-2017</t>
  </si>
  <si>
    <t>ALUMBRADO PÚBLICO DE LA CALLE AMPLIACIÓN CORREGIDORA</t>
  </si>
  <si>
    <t>SAN NICOLÁS ESQUIROS</t>
  </si>
  <si>
    <t>DGOP/ITS/IDF-235-2017</t>
  </si>
  <si>
    <t>PAVIMENTACIÓN DEL A CALLE LA SAUCEDA, COM. GASCA</t>
  </si>
  <si>
    <t>GASACA</t>
  </si>
  <si>
    <t>DGOP/ITS/IDF-236-2017</t>
  </si>
  <si>
    <t>ALUMBRADO PÚBLICO EN LA CALLE FRANCISCO GONZALEZ, COM. GASCA</t>
  </si>
  <si>
    <t>DGOP/ITS/IDF-237-2017</t>
  </si>
  <si>
    <t>REHABILITACIÓN DE ALUMBRADO PÚBLICO DEL JARDÍN DE RINCÓN DE TAMAYO</t>
  </si>
  <si>
    <t>DGOP/ITS/IDF-243-2017</t>
  </si>
  <si>
    <t>ELECTRIFICACIÓN DE LA 2DA. PRIV. DE 5 DE MAYO, PRIMERA FRACCIÓN DE CRESPO (EL MOLINO)</t>
  </si>
  <si>
    <t>DGOP/ITS-240-2017</t>
  </si>
  <si>
    <t>PAVIMENTO DE LA CALLE ALVARO OBREGÓN Y DIAZ ORDAZ, TRAMO: DE CALLE CHAPULTEPEC Y CALLE ROBERTO OLIVEROS EN LA COM. DE GASCA</t>
  </si>
  <si>
    <t>DGOP/ITS/IDF-244-2017</t>
  </si>
  <si>
    <t>ELECTRIFICACIÓN DE LA CALLE 1RA. Y 2DA PRIVADA EMILIANO ZA´PATA, RINCÓN DE TAMAYO</t>
  </si>
  <si>
    <t>JUMAPA-CELAYA-OP-2016-67</t>
  </si>
  <si>
    <t>AMPLIACIÓN DE RED DE DRENAJE SANITARIO COMUNIDAD  SAN ELÍAS</t>
  </si>
  <si>
    <t>JUMAPA-CELAYA-OP-2017-41</t>
  </si>
  <si>
    <t>RED DE DRENAJE EN LA CALLE FRANCISCO VILLA COMUNIDAD SAN ELIAS</t>
  </si>
  <si>
    <t>Adjudicación Directa</t>
  </si>
  <si>
    <t>JUMAPA-CELAYA-OP-2017-62</t>
  </si>
  <si>
    <t>RED DE AGUA POTABLE EN LA COLONIA PATRIA NUEVA</t>
  </si>
  <si>
    <t>COLONIA PATRIA NUEVA</t>
  </si>
  <si>
    <t>JUMAPA-CELAYA-OP-2017-63</t>
  </si>
  <si>
    <t>RED DE AGUA POTABLE EN LA COLONIA PEDRO MARIA ANAYA</t>
  </si>
  <si>
    <t>JUMAPA-CELAYA-OP-2017-64</t>
  </si>
  <si>
    <t>RE-EQUIPAMIENTO ELECTROMECANICO DE POZO PARA AGUA POTABLE COLONIA PATRIA NUEVA</t>
  </si>
  <si>
    <t>JUMAPA-CELAYA-OP-2017-65</t>
  </si>
  <si>
    <t>EQUIPAMIENTO DE POZO PROFUNDO ZARAGOZA</t>
  </si>
  <si>
    <t>JUMAPA-CELAYA-OP-2017-66</t>
  </si>
  <si>
    <t>AMPLIACION DE LA RED DE AGUA POTABLE DE LA CALLE BENITO JUAREZ, TRAMO: CALLE 2DA DE BENITO JUAREZ A 500 M HACIA PONIENTE</t>
  </si>
  <si>
    <t>JUMAPA-CELAYA-OP-2017-67</t>
  </si>
  <si>
    <t>AMPLIACION DE RED DE DRENAJE CALLE FRANCISCO VILLA, TRAMO: CALLE LAS FLORES AL FONDO</t>
  </si>
  <si>
    <t>JUMAPA-CELAYA-OP-2017-68</t>
  </si>
  <si>
    <t>RED DE DRENAJE SANITARIO SANITARIO DE LAS CALLES PRIV. 5 DE MAYO Y PRIV NUEVO LEON EN LA COMUNIDAD ESTRADA</t>
  </si>
  <si>
    <t>JUMAPA-CELAYA-OP-2017-69</t>
  </si>
  <si>
    <t>AMPLIACION DE LA RED DE DRENAJE SANITARIO EN LA COMUNIDAD DE LA TRINIDAD</t>
  </si>
  <si>
    <t>LA TRINIDAD</t>
  </si>
  <si>
    <t>Licitación Simplificada</t>
  </si>
  <si>
    <t>JUMAPA-CELAYA-OP-2017-73</t>
  </si>
  <si>
    <t>AMPLIACIÓN DE RED DE DRENAJE SANITARIO EN LA AV. SAN RAFAEL Y CIRCUITO SANTA TERESA, COL. SAN RAFAEL</t>
  </si>
  <si>
    <t>JUMAPA-CELAYA-OP-2017-74</t>
  </si>
  <si>
    <t>RED DE DRENAJE SANITARIO DE LAS CALLES VENUSTIANO CARRANZA Y PRIVADA 16 DE SEPTIEMBRE, COMUNIDAD TENERIA DEL SANTUARIO (PRIMERA ETAPA)</t>
  </si>
  <si>
    <t>TENERIA DEL SANTURIO</t>
  </si>
  <si>
    <t>JUMAPA-CELAYA-OP-2017-75</t>
  </si>
  <si>
    <t>RED DE DRENAJE DE LA CALLE AQUILES SERDAN, TRAMO: DE CAMINO A SANTA TERESITA A LA CALLE COLIBRI, COLONIA SANTA TERESITA *.*</t>
  </si>
  <si>
    <t>JUMAPA-CELAYA-OP-2017-76</t>
  </si>
  <si>
    <t>RED DE DRENAJE EN LA CALLE VENUSTIANO CARRANZA, TRAMO: DE CAMINO A SANTA TERESA A 286.15M AL NORTE**</t>
  </si>
  <si>
    <t>JUMAPA-CELAYA-OP-2017-77</t>
  </si>
  <si>
    <t>REHABILITACION DEL COLECTOR SANITARIO Y AMPLIACION DE LAS RED DE ATARJEAS VARIAS CALLES ZONA SUR- PONIENTE, COMUNIDAD EL BECERRO ( SANTOS DEGOLLADO)</t>
  </si>
  <si>
    <t>JUMAPA-CELAYA-OP-2017-81</t>
  </si>
  <si>
    <t>RED DE DRENAJE SANITARIO DE LAS CALLES BENITO JUAREZ Y 5 DE MAYO COMUNIDAD EL SAUZ DE VILLASEÑOR**</t>
  </si>
  <si>
    <t>JUMAPA-CELAYA-OP-2017-82</t>
  </si>
  <si>
    <t>RED DE DRENAJE EN LA COLONIA PEDRO MARIA ANAYA ****</t>
  </si>
  <si>
    <t>JUMAPA-CELAYA-OP-2017-83</t>
  </si>
  <si>
    <t>LINEA DE CONDUCCION DEL CARCAMO  DE LAS COLONIAS PATRIA NUEVA Y PEDRO MARIA ANAYA AL COLECTOR CARRETERA ESTRADA**</t>
  </si>
  <si>
    <t>COMUNIDAD DE ESTRADA</t>
  </si>
  <si>
    <t>JUMAPA-CELAYA-OP-2017-84</t>
  </si>
  <si>
    <t>CONSTRUCCION DE BARDAS PERIMETRALES , MANTENIMIENTO DEL POZO PROFUNDO Y TANQUE ELEVADO QUE ABASTECE A LAS COLONIAS PEDRO MARIA ANAYA Y PATRIA NUEVA *.*</t>
  </si>
  <si>
    <t>COLONIAS PEDRO MARIA ANAYA Y PATRIA NUEVA</t>
  </si>
  <si>
    <t>JUMAPA-CELAYA-OP-2017-85</t>
  </si>
  <si>
    <t>COLECTOR SANITARIO PARA LAS COLONIAS PATRIA NUEVA Y PEDRO MARIA ANAYA *.**</t>
  </si>
  <si>
    <t>JUMAPA-CELAYA-OP-2017-86</t>
  </si>
  <si>
    <t>RED DE DRENAJE EN LA COLONIA PATRIA NUEVA *.*</t>
  </si>
  <si>
    <t>JUMAPA-CELAYA-OP-2017-87</t>
  </si>
  <si>
    <t>EQUIPAMIENTO ELECTROMECANICO Y CONSTRUCCIONES DEL CARCAMO DE BOMBEO PARA LAS COLONIAS PATRIA NUEVA Y PEDRO MARIA ANAYA ***</t>
  </si>
  <si>
    <t>Licitación Pública Nacional</t>
  </si>
  <si>
    <t>JUMAPA-CELAYA-OP-2017-88</t>
  </si>
  <si>
    <t>PLANTA DE TRATAMIENTO DE AGUAS RESIDUALES COMUNIDAD LA TRINIDAD°.*°</t>
  </si>
  <si>
    <t>EJECUTA INIFEG</t>
  </si>
  <si>
    <t>CONSTRUCCIÓPN DE 1 TECHADO PARA PATIO CIVICO DE 20.00 X 8.00 MTS. CON CIMENTACIÓN DE CONCRETO ARMADO, MAS CONSTRUCCIÓN DE PATIO CIVICO, INCLUYE ASTA BANDERA Y BEBEDERO EN EL JARDÍN DE NIÑOS SOR JUANA INES DE LA CRUZ CON C.C.T. 11 EJN0244G. UBICADO EN LA CALLE SALAMANCA NUM- 209, COL. BAJIO DE LAS AMÉRICAS EN EL MUNICIPIO DE CELAYA, GTO.</t>
  </si>
  <si>
    <t>EJECUTA LA SOP</t>
  </si>
  <si>
    <t>REHABILITACIÓN DE LA UNIDAD DEPORTIVA NORTE, EN LA CIUDAD DE CELAYA, GTO.</t>
  </si>
  <si>
    <t xml:space="preserve">                                              </t>
  </si>
  <si>
    <t xml:space="preserve"> Ing. Ramón Ignacio Lemus Muñoz-Ledo</t>
  </si>
  <si>
    <t>C.P. y  M.F. Ma. Lourdes Herrera Rodríguez</t>
  </si>
  <si>
    <t xml:space="preserve">Ing. Jorge Enrique Miranda Carrera </t>
  </si>
  <si>
    <t>Presidente Municipal</t>
  </si>
  <si>
    <t>Tesorera Municipal</t>
  </si>
  <si>
    <t xml:space="preserve">Director General de Obras Públicas </t>
  </si>
  <si>
    <t>AL 30 DE JUNIO DE 2018</t>
  </si>
  <si>
    <t>JUMAPA-CELAYA-OP-2018-023</t>
  </si>
  <si>
    <t>ALIVIO PLUVIAL COMUNIDAD DE SAN JOSE EL NUEVO (CAMINO REAL)</t>
  </si>
  <si>
    <t>PAVIMENTACIÓN DE LA CALLE FRANCISCO VILLA PRIMERA FRACCIÓN DE CRESPO (EL MOLINO)</t>
  </si>
  <si>
    <t>CONSTRUCCIÓN DE GUARNICIONES Y BANQUETAS CALLE PLAN DE HOSPICIO DE LA COL. LAZARO CÁRDENAS</t>
  </si>
  <si>
    <t>PAVIMENTACIÓN DE LA CALLE 18 DE MARZO COM. SANTA MARÍA DEL REFUGIO</t>
  </si>
  <si>
    <t>CONSTRUCCIÓN DE PARQUE DE CONVIVENCIA SOCIAL EN LA COMUNIDAD DE SANTA MARÍA DEL REFUGIO</t>
  </si>
  <si>
    <t>CONSTRUCCIÓN DE PARQUE DE CONVIVENCIA SOCIAL EN LA COL. LAZARO CARDENAS</t>
  </si>
  <si>
    <t>CONSTRUCCIÓN DE PARQUE DE CONVIVENCIA SOCIAL EN LA COL. DEL BOSQUE 2DA. SECC.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</si>
</sst>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\ &quot;de&quot;\ mmmm\ &quot;de&quot;\ yyyy"/>
    <numFmt numFmtId="166" formatCode="_-[$€-2]* #,##0.00_-;\-[$€-2]* #,##0.00_-;_-[$€-2]* &quot;-&quot;??_-"/>
    <numFmt numFmtId="167" formatCode="_([$€]* #,##0.00_);_([$€]* \(#,##0.00\);_([$€]* &quot;-&quot;??_);_(@_)"/>
    <numFmt numFmtId="168" formatCode="_-* #,##0.00\ [$€]_-;\-* #,##0.00\ [$€]_-;_-* &quot;-&quot;??\ [$€]_-;_-@_-"/>
    <numFmt numFmtId="169" formatCode="_(* #,##0.00_);_(* \(#,##0.00\);_(* &quot;-&quot;??_);_(@_)"/>
    <numFmt numFmtId="170" formatCode="_-\$* #,##0.00_-;&quot;-$&quot;* #,##0.00_-;_-\$* \-??_-;_-@_-"/>
    <numFmt numFmtId="171" formatCode="_(&quot;$&quot;* #,##0.00_);_(&quot;$&quot;* \(#,##0.00\);_(&quot;$&quot;* &quot;-&quot;??_);_(@_)"/>
    <numFmt numFmtId="172" formatCode="#,##0.00_ ;[Red]\-#,##0.0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Arial Narrow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1"/>
      <color indexed="19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0"/>
      <name val="Calibri"/>
      <family val="2"/>
      <charset val="1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6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8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</borders>
  <cellStyleXfs count="18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6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9" borderId="0" applyNumberFormat="0" applyBorder="0" applyAlignment="0" applyProtection="0"/>
    <xf numFmtId="0" fontId="20" fillId="26" borderId="0" applyNumberFormat="0" applyBorder="0" applyAlignment="0" applyProtection="0"/>
    <xf numFmtId="0" fontId="18" fillId="50" borderId="11" applyNumberFormat="0" applyAlignment="0" applyProtection="0"/>
    <xf numFmtId="0" fontId="18" fillId="50" borderId="11" applyNumberFormat="0" applyAlignment="0" applyProtection="0"/>
    <xf numFmtId="0" fontId="21" fillId="51" borderId="12" applyNumberFormat="0" applyAlignment="0" applyProtection="0"/>
    <xf numFmtId="0" fontId="22" fillId="52" borderId="13" applyNumberFormat="0" applyAlignment="0" applyProtection="0"/>
    <xf numFmtId="0" fontId="23" fillId="0" borderId="14" applyNumberFormat="0" applyFill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56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26" fillId="31" borderId="1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0" fillId="44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5" fillId="0" borderId="17" applyNumberFormat="0" applyFill="0" applyAlignment="0" applyProtection="0"/>
    <xf numFmtId="0" fontId="30" fillId="59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ill="0" applyBorder="0" applyAlignment="0" applyProtection="0"/>
    <xf numFmtId="43" fontId="1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44" fontId="27" fillId="0" borderId="0" applyFont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44" fontId="27" fillId="0" borderId="0" applyFont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/>
    <xf numFmtId="0" fontId="27" fillId="0" borderId="0"/>
    <xf numFmtId="0" fontId="34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18" applyNumberFormat="0" applyFont="0" applyAlignment="0" applyProtection="0"/>
    <xf numFmtId="0" fontId="27" fillId="22" borderId="18" applyNumberFormat="0" applyFont="0" applyAlignment="0" applyProtection="0"/>
    <xf numFmtId="0" fontId="27" fillId="60" borderId="18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18" applyNumberFormat="0" applyFont="0" applyAlignment="0" applyProtection="0"/>
    <xf numFmtId="0" fontId="27" fillId="60" borderId="18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61" borderId="19" applyNumberFormat="0" applyAlignment="0" applyProtection="0"/>
    <xf numFmtId="0" fontId="22" fillId="61" borderId="19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6" fillId="51" borderId="20" applyNumberFormat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1" fillId="0" borderId="0"/>
    <xf numFmtId="0" fontId="27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5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0" fillId="15" borderId="0" xfId="0" applyFill="1"/>
    <xf numFmtId="0" fontId="0" fillId="16" borderId="0" xfId="0" applyFill="1"/>
    <xf numFmtId="0" fontId="4" fillId="15" borderId="9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4" fontId="9" fillId="0" borderId="2" xfId="2" applyFont="1" applyBorder="1" applyAlignment="1">
      <alignment vertical="center" wrapText="1"/>
    </xf>
    <xf numFmtId="43" fontId="7" fillId="0" borderId="2" xfId="1" applyFont="1" applyBorder="1" applyAlignment="1">
      <alignment vertical="center" wrapText="1"/>
    </xf>
    <xf numFmtId="15" fontId="6" fillId="0" borderId="2" xfId="0" applyNumberFormat="1" applyFont="1" applyFill="1" applyBorder="1" applyAlignment="1">
      <alignment horizontal="center" vertical="center" wrapText="1"/>
    </xf>
    <xf numFmtId="9" fontId="7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2" xfId="0" applyFont="1" applyBorder="1" applyAlignment="1">
      <alignment horizontal="left" vertical="center"/>
    </xf>
    <xf numFmtId="0" fontId="7" fillId="17" borderId="2" xfId="0" applyFont="1" applyFill="1" applyBorder="1" applyAlignment="1">
      <alignment horizontal="left" vertical="center" wrapText="1"/>
    </xf>
    <xf numFmtId="43" fontId="7" fillId="0" borderId="2" xfId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43" fontId="7" fillId="0" borderId="4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43" fontId="6" fillId="0" borderId="4" xfId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0" fontId="7" fillId="0" borderId="4" xfId="0" applyFont="1" applyBorder="1"/>
    <xf numFmtId="43" fontId="6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left" vertical="center"/>
    </xf>
    <xf numFmtId="43" fontId="7" fillId="0" borderId="2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3" fontId="9" fillId="0" borderId="2" xfId="1" applyFont="1" applyBorder="1" applyAlignment="1">
      <alignment vertical="center" wrapText="1"/>
    </xf>
    <xf numFmtId="43" fontId="6" fillId="16" borderId="2" xfId="3" applyNumberFormat="1" applyFont="1" applyFill="1" applyBorder="1" applyAlignment="1">
      <alignment horizontal="center" vertical="center"/>
    </xf>
    <xf numFmtId="43" fontId="11" fillId="0" borderId="0" xfId="0" applyNumberFormat="1" applyFont="1"/>
    <xf numFmtId="165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wrapText="1"/>
    </xf>
    <xf numFmtId="43" fontId="13" fillId="0" borderId="0" xfId="0" applyNumberFormat="1" applyFont="1"/>
    <xf numFmtId="0" fontId="0" fillId="0" borderId="10" xfId="0" applyBorder="1"/>
    <xf numFmtId="0" fontId="0" fillId="0" borderId="0" xfId="0" applyBorder="1"/>
    <xf numFmtId="165" fontId="14" fillId="0" borderId="10" xfId="0" applyNumberFormat="1" applyFont="1" applyFill="1" applyBorder="1" applyAlignment="1">
      <alignment horizontal="center" vertical="center" wrapText="1"/>
    </xf>
    <xf numFmtId="43" fontId="5" fillId="0" borderId="0" xfId="1" applyFont="1" applyBorder="1"/>
    <xf numFmtId="0" fontId="15" fillId="0" borderId="0" xfId="0" applyFont="1"/>
    <xf numFmtId="0" fontId="16" fillId="0" borderId="0" xfId="0" applyFont="1"/>
    <xf numFmtId="44" fontId="13" fillId="0" borderId="0" xfId="0" applyNumberFormat="1" applyFont="1"/>
    <xf numFmtId="0" fontId="2" fillId="16" borderId="2" xfId="0" applyFont="1" applyFill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1" fontId="6" fillId="16" borderId="2" xfId="0" applyNumberFormat="1" applyFont="1" applyFill="1" applyBorder="1" applyAlignment="1">
      <alignment horizontal="left" vertical="center" wrapText="1"/>
    </xf>
    <xf numFmtId="0" fontId="8" fillId="16" borderId="2" xfId="0" applyFont="1" applyFill="1" applyBorder="1" applyAlignment="1">
      <alignment horizontal="left" vertical="center" wrapText="1"/>
    </xf>
    <xf numFmtId="43" fontId="9" fillId="16" borderId="2" xfId="1" applyFont="1" applyFill="1" applyBorder="1" applyAlignment="1">
      <alignment vertical="center" wrapText="1"/>
    </xf>
    <xf numFmtId="43" fontId="6" fillId="16" borderId="2" xfId="1" applyFont="1" applyFill="1" applyBorder="1" applyAlignment="1">
      <alignment horizontal="center" vertical="center"/>
    </xf>
    <xf numFmtId="43" fontId="7" fillId="16" borderId="2" xfId="1" applyFont="1" applyFill="1" applyBorder="1" applyAlignment="1">
      <alignment horizontal="center" vertical="center"/>
    </xf>
    <xf numFmtId="0" fontId="7" fillId="16" borderId="2" xfId="0" applyFont="1" applyFill="1" applyBorder="1"/>
    <xf numFmtId="9" fontId="7" fillId="16" borderId="2" xfId="3" applyNumberFormat="1" applyFont="1" applyFill="1" applyBorder="1" applyAlignment="1">
      <alignment horizontal="center" vertical="center"/>
    </xf>
    <xf numFmtId="0" fontId="0" fillId="16" borderId="0" xfId="0" applyFont="1" applyFill="1"/>
    <xf numFmtId="1" fontId="6" fillId="16" borderId="2" xfId="0" applyNumberFormat="1" applyFont="1" applyFill="1" applyBorder="1" applyAlignment="1">
      <alignment horizontal="left" vertical="center"/>
    </xf>
    <xf numFmtId="43" fontId="7" fillId="16" borderId="2" xfId="1" applyFont="1" applyFill="1" applyBorder="1" applyAlignment="1">
      <alignment vertical="center"/>
    </xf>
    <xf numFmtId="15" fontId="6" fillId="16" borderId="2" xfId="0" applyNumberFormat="1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44" fontId="9" fillId="16" borderId="2" xfId="2" applyFont="1" applyFill="1" applyBorder="1" applyAlignment="1">
      <alignment vertical="center" wrapText="1"/>
    </xf>
    <xf numFmtId="0" fontId="8" fillId="16" borderId="2" xfId="0" applyFont="1" applyFill="1" applyBorder="1" applyAlignment="1">
      <alignment horizontal="left" vertical="center"/>
    </xf>
    <xf numFmtId="43" fontId="6" fillId="16" borderId="2" xfId="1" applyFont="1" applyFill="1" applyBorder="1" applyAlignment="1">
      <alignment vertical="center"/>
    </xf>
    <xf numFmtId="164" fontId="6" fillId="16" borderId="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7" fillId="16" borderId="0" xfId="0" applyFont="1" applyFill="1" applyBorder="1" applyAlignment="1">
      <alignment wrapText="1"/>
    </xf>
    <xf numFmtId="0" fontId="7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16" borderId="25" xfId="0" applyFont="1" applyFill="1" applyBorder="1" applyAlignment="1">
      <alignment vertical="center"/>
    </xf>
    <xf numFmtId="43" fontId="9" fillId="0" borderId="2" xfId="0" applyNumberFormat="1" applyFont="1" applyBorder="1"/>
    <xf numFmtId="0" fontId="9" fillId="0" borderId="2" xfId="0" applyFont="1" applyBorder="1"/>
    <xf numFmtId="9" fontId="7" fillId="0" borderId="2" xfId="3" applyNumberFormat="1" applyFont="1" applyFill="1" applyBorder="1" applyAlignment="1">
      <alignment horizontal="center" vertical="center"/>
    </xf>
    <xf numFmtId="0" fontId="0" fillId="0" borderId="0" xfId="0" applyFont="1" applyFill="1"/>
    <xf numFmtId="172" fontId="41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172" fontId="41" fillId="0" borderId="0" xfId="0" applyNumberFormat="1" applyFont="1" applyFill="1" applyBorder="1"/>
    <xf numFmtId="0" fontId="42" fillId="0" borderId="0" xfId="0" applyFont="1" applyFill="1" applyBorder="1" applyAlignment="1">
      <alignment horizontal="right"/>
    </xf>
    <xf numFmtId="43" fontId="41" fillId="0" borderId="0" xfId="431" applyFont="1" applyFill="1" applyBorder="1"/>
    <xf numFmtId="0" fontId="41" fillId="0" borderId="0" xfId="0" applyFont="1" applyFill="1" applyBorder="1"/>
    <xf numFmtId="10" fontId="0" fillId="0" borderId="0" xfId="0" applyNumberFormat="1" applyFont="1"/>
    <xf numFmtId="4" fontId="6" fillId="16" borderId="4" xfId="0" applyNumberFormat="1" applyFont="1" applyFill="1" applyBorder="1" applyAlignment="1">
      <alignment horizontal="right" vertical="center" wrapText="1"/>
    </xf>
    <xf numFmtId="4" fontId="10" fillId="16" borderId="2" xfId="0" applyNumberFormat="1" applyFont="1" applyFill="1" applyBorder="1" applyAlignment="1">
      <alignment horizontal="right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15" borderId="7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</cellXfs>
  <cellStyles count="1852">
    <cellStyle name="20% - Énfasis1 10" xfId="4" xr:uid="{00000000-0005-0000-0000-000000000000}"/>
    <cellStyle name="20% - Énfasis1 11" xfId="5" xr:uid="{00000000-0005-0000-0000-000001000000}"/>
    <cellStyle name="20% - Énfasis1 12" xfId="6" xr:uid="{00000000-0005-0000-0000-000002000000}"/>
    <cellStyle name="20% - Énfasis1 13" xfId="7" xr:uid="{00000000-0005-0000-0000-000003000000}"/>
    <cellStyle name="20% - Énfasis1 14" xfId="8" xr:uid="{00000000-0005-0000-0000-000004000000}"/>
    <cellStyle name="20% - Énfasis1 15" xfId="9" xr:uid="{00000000-0005-0000-0000-000005000000}"/>
    <cellStyle name="20% - Énfasis1 16" xfId="10" xr:uid="{00000000-0005-0000-0000-000006000000}"/>
    <cellStyle name="20% - Énfasis1 17" xfId="11" xr:uid="{00000000-0005-0000-0000-000007000000}"/>
    <cellStyle name="20% - Énfasis1 18" xfId="12" xr:uid="{00000000-0005-0000-0000-000008000000}"/>
    <cellStyle name="20% - Énfasis1 19" xfId="13" xr:uid="{00000000-0005-0000-0000-000009000000}"/>
    <cellStyle name="20% - Énfasis1 2" xfId="14" xr:uid="{00000000-0005-0000-0000-00000A000000}"/>
    <cellStyle name="20% - Énfasis1 2 2" xfId="15" xr:uid="{00000000-0005-0000-0000-00000B000000}"/>
    <cellStyle name="20% - Énfasis1 2 3" xfId="16" xr:uid="{00000000-0005-0000-0000-00000C000000}"/>
    <cellStyle name="20% - Énfasis1 20" xfId="17" xr:uid="{00000000-0005-0000-0000-00000D000000}"/>
    <cellStyle name="20% - Énfasis1 21" xfId="18" xr:uid="{00000000-0005-0000-0000-00000E000000}"/>
    <cellStyle name="20% - Énfasis1 22" xfId="19" xr:uid="{00000000-0005-0000-0000-00000F000000}"/>
    <cellStyle name="20% - Énfasis1 23" xfId="20" xr:uid="{00000000-0005-0000-0000-000010000000}"/>
    <cellStyle name="20% - Énfasis1 24" xfId="21" xr:uid="{00000000-0005-0000-0000-000011000000}"/>
    <cellStyle name="20% - Énfasis1 3" xfId="22" xr:uid="{00000000-0005-0000-0000-000012000000}"/>
    <cellStyle name="20% - Énfasis1 4" xfId="23" xr:uid="{00000000-0005-0000-0000-000013000000}"/>
    <cellStyle name="20% - Énfasis1 5" xfId="24" xr:uid="{00000000-0005-0000-0000-000014000000}"/>
    <cellStyle name="20% - Énfasis1 6" xfId="25" xr:uid="{00000000-0005-0000-0000-000015000000}"/>
    <cellStyle name="20% - Énfasis1 7" xfId="26" xr:uid="{00000000-0005-0000-0000-000016000000}"/>
    <cellStyle name="20% - Énfasis1 8" xfId="27" xr:uid="{00000000-0005-0000-0000-000017000000}"/>
    <cellStyle name="20% - Énfasis1 9" xfId="28" xr:uid="{00000000-0005-0000-0000-000018000000}"/>
    <cellStyle name="20% - Énfasis2 10" xfId="29" xr:uid="{00000000-0005-0000-0000-000019000000}"/>
    <cellStyle name="20% - Énfasis2 11" xfId="30" xr:uid="{00000000-0005-0000-0000-00001A000000}"/>
    <cellStyle name="20% - Énfasis2 12" xfId="31" xr:uid="{00000000-0005-0000-0000-00001B000000}"/>
    <cellStyle name="20% - Énfasis2 13" xfId="32" xr:uid="{00000000-0005-0000-0000-00001C000000}"/>
    <cellStyle name="20% - Énfasis2 14" xfId="33" xr:uid="{00000000-0005-0000-0000-00001D000000}"/>
    <cellStyle name="20% - Énfasis2 15" xfId="34" xr:uid="{00000000-0005-0000-0000-00001E000000}"/>
    <cellStyle name="20% - Énfasis2 16" xfId="35" xr:uid="{00000000-0005-0000-0000-00001F000000}"/>
    <cellStyle name="20% - Énfasis2 17" xfId="36" xr:uid="{00000000-0005-0000-0000-000020000000}"/>
    <cellStyle name="20% - Énfasis2 18" xfId="37" xr:uid="{00000000-0005-0000-0000-000021000000}"/>
    <cellStyle name="20% - Énfasis2 19" xfId="38" xr:uid="{00000000-0005-0000-0000-000022000000}"/>
    <cellStyle name="20% - Énfasis2 2" xfId="39" xr:uid="{00000000-0005-0000-0000-000023000000}"/>
    <cellStyle name="20% - Énfasis2 2 2" xfId="40" xr:uid="{00000000-0005-0000-0000-000024000000}"/>
    <cellStyle name="20% - Énfasis2 2 3" xfId="41" xr:uid="{00000000-0005-0000-0000-000025000000}"/>
    <cellStyle name="20% - Énfasis2 20" xfId="42" xr:uid="{00000000-0005-0000-0000-000026000000}"/>
    <cellStyle name="20% - Énfasis2 21" xfId="43" xr:uid="{00000000-0005-0000-0000-000027000000}"/>
    <cellStyle name="20% - Énfasis2 22" xfId="44" xr:uid="{00000000-0005-0000-0000-000028000000}"/>
    <cellStyle name="20% - Énfasis2 23" xfId="45" xr:uid="{00000000-0005-0000-0000-000029000000}"/>
    <cellStyle name="20% - Énfasis2 24" xfId="46" xr:uid="{00000000-0005-0000-0000-00002A000000}"/>
    <cellStyle name="20% - Énfasis2 3" xfId="47" xr:uid="{00000000-0005-0000-0000-00002B000000}"/>
    <cellStyle name="20% - Énfasis2 4" xfId="48" xr:uid="{00000000-0005-0000-0000-00002C000000}"/>
    <cellStyle name="20% - Énfasis2 5" xfId="49" xr:uid="{00000000-0005-0000-0000-00002D000000}"/>
    <cellStyle name="20% - Énfasis2 6" xfId="50" xr:uid="{00000000-0005-0000-0000-00002E000000}"/>
    <cellStyle name="20% - Énfasis2 7" xfId="51" xr:uid="{00000000-0005-0000-0000-00002F000000}"/>
    <cellStyle name="20% - Énfasis2 8" xfId="52" xr:uid="{00000000-0005-0000-0000-000030000000}"/>
    <cellStyle name="20% - Énfasis2 9" xfId="53" xr:uid="{00000000-0005-0000-0000-000031000000}"/>
    <cellStyle name="20% - Énfasis3 10" xfId="54" xr:uid="{00000000-0005-0000-0000-000032000000}"/>
    <cellStyle name="20% - Énfasis3 11" xfId="55" xr:uid="{00000000-0005-0000-0000-000033000000}"/>
    <cellStyle name="20% - Énfasis3 12" xfId="56" xr:uid="{00000000-0005-0000-0000-000034000000}"/>
    <cellStyle name="20% - Énfasis3 13" xfId="57" xr:uid="{00000000-0005-0000-0000-000035000000}"/>
    <cellStyle name="20% - Énfasis3 14" xfId="58" xr:uid="{00000000-0005-0000-0000-000036000000}"/>
    <cellStyle name="20% - Énfasis3 15" xfId="59" xr:uid="{00000000-0005-0000-0000-000037000000}"/>
    <cellStyle name="20% - Énfasis3 16" xfId="60" xr:uid="{00000000-0005-0000-0000-000038000000}"/>
    <cellStyle name="20% - Énfasis3 17" xfId="61" xr:uid="{00000000-0005-0000-0000-000039000000}"/>
    <cellStyle name="20% - Énfasis3 18" xfId="62" xr:uid="{00000000-0005-0000-0000-00003A000000}"/>
    <cellStyle name="20% - Énfasis3 19" xfId="63" xr:uid="{00000000-0005-0000-0000-00003B000000}"/>
    <cellStyle name="20% - Énfasis3 2" xfId="64" xr:uid="{00000000-0005-0000-0000-00003C000000}"/>
    <cellStyle name="20% - Énfasis3 2 2" xfId="65" xr:uid="{00000000-0005-0000-0000-00003D000000}"/>
    <cellStyle name="20% - Énfasis3 2 3" xfId="66" xr:uid="{00000000-0005-0000-0000-00003E000000}"/>
    <cellStyle name="20% - Énfasis3 20" xfId="67" xr:uid="{00000000-0005-0000-0000-00003F000000}"/>
    <cellStyle name="20% - Énfasis3 21" xfId="68" xr:uid="{00000000-0005-0000-0000-000040000000}"/>
    <cellStyle name="20% - Énfasis3 22" xfId="69" xr:uid="{00000000-0005-0000-0000-000041000000}"/>
    <cellStyle name="20% - Énfasis3 23" xfId="70" xr:uid="{00000000-0005-0000-0000-000042000000}"/>
    <cellStyle name="20% - Énfasis3 24" xfId="71" xr:uid="{00000000-0005-0000-0000-000043000000}"/>
    <cellStyle name="20% - Énfasis3 3" xfId="72" xr:uid="{00000000-0005-0000-0000-000044000000}"/>
    <cellStyle name="20% - Énfasis3 4" xfId="73" xr:uid="{00000000-0005-0000-0000-000045000000}"/>
    <cellStyle name="20% - Énfasis3 5" xfId="74" xr:uid="{00000000-0005-0000-0000-000046000000}"/>
    <cellStyle name="20% - Énfasis3 6" xfId="75" xr:uid="{00000000-0005-0000-0000-000047000000}"/>
    <cellStyle name="20% - Énfasis3 7" xfId="76" xr:uid="{00000000-0005-0000-0000-000048000000}"/>
    <cellStyle name="20% - Énfasis3 8" xfId="77" xr:uid="{00000000-0005-0000-0000-000049000000}"/>
    <cellStyle name="20% - Énfasis3 9" xfId="78" xr:uid="{00000000-0005-0000-0000-00004A000000}"/>
    <cellStyle name="20% - Énfasis4 10" xfId="79" xr:uid="{00000000-0005-0000-0000-00004B000000}"/>
    <cellStyle name="20% - Énfasis4 11" xfId="80" xr:uid="{00000000-0005-0000-0000-00004C000000}"/>
    <cellStyle name="20% - Énfasis4 12" xfId="81" xr:uid="{00000000-0005-0000-0000-00004D000000}"/>
    <cellStyle name="20% - Énfasis4 13" xfId="82" xr:uid="{00000000-0005-0000-0000-00004E000000}"/>
    <cellStyle name="20% - Énfasis4 14" xfId="83" xr:uid="{00000000-0005-0000-0000-00004F000000}"/>
    <cellStyle name="20% - Énfasis4 15" xfId="84" xr:uid="{00000000-0005-0000-0000-000050000000}"/>
    <cellStyle name="20% - Énfasis4 16" xfId="85" xr:uid="{00000000-0005-0000-0000-000051000000}"/>
    <cellStyle name="20% - Énfasis4 17" xfId="86" xr:uid="{00000000-0005-0000-0000-000052000000}"/>
    <cellStyle name="20% - Énfasis4 18" xfId="87" xr:uid="{00000000-0005-0000-0000-000053000000}"/>
    <cellStyle name="20% - Énfasis4 19" xfId="88" xr:uid="{00000000-0005-0000-0000-000054000000}"/>
    <cellStyle name="20% - Énfasis4 2" xfId="89" xr:uid="{00000000-0005-0000-0000-000055000000}"/>
    <cellStyle name="20% - Énfasis4 2 2" xfId="90" xr:uid="{00000000-0005-0000-0000-000056000000}"/>
    <cellStyle name="20% - Énfasis4 2 3" xfId="91" xr:uid="{00000000-0005-0000-0000-000057000000}"/>
    <cellStyle name="20% - Énfasis4 20" xfId="92" xr:uid="{00000000-0005-0000-0000-000058000000}"/>
    <cellStyle name="20% - Énfasis4 21" xfId="93" xr:uid="{00000000-0005-0000-0000-000059000000}"/>
    <cellStyle name="20% - Énfasis4 22" xfId="94" xr:uid="{00000000-0005-0000-0000-00005A000000}"/>
    <cellStyle name="20% - Énfasis4 23" xfId="95" xr:uid="{00000000-0005-0000-0000-00005B000000}"/>
    <cellStyle name="20% - Énfasis4 24" xfId="96" xr:uid="{00000000-0005-0000-0000-00005C000000}"/>
    <cellStyle name="20% - Énfasis4 3" xfId="97" xr:uid="{00000000-0005-0000-0000-00005D000000}"/>
    <cellStyle name="20% - Énfasis4 4" xfId="98" xr:uid="{00000000-0005-0000-0000-00005E000000}"/>
    <cellStyle name="20% - Énfasis4 5" xfId="99" xr:uid="{00000000-0005-0000-0000-00005F000000}"/>
    <cellStyle name="20% - Énfasis4 6" xfId="100" xr:uid="{00000000-0005-0000-0000-000060000000}"/>
    <cellStyle name="20% - Énfasis4 7" xfId="101" xr:uid="{00000000-0005-0000-0000-000061000000}"/>
    <cellStyle name="20% - Énfasis4 8" xfId="102" xr:uid="{00000000-0005-0000-0000-000062000000}"/>
    <cellStyle name="20% - Énfasis4 9" xfId="103" xr:uid="{00000000-0005-0000-0000-000063000000}"/>
    <cellStyle name="20% - Énfasis5 10" xfId="104" xr:uid="{00000000-0005-0000-0000-000064000000}"/>
    <cellStyle name="20% - Énfasis5 11" xfId="105" xr:uid="{00000000-0005-0000-0000-000065000000}"/>
    <cellStyle name="20% - Énfasis5 12" xfId="106" xr:uid="{00000000-0005-0000-0000-000066000000}"/>
    <cellStyle name="20% - Énfasis5 13" xfId="107" xr:uid="{00000000-0005-0000-0000-000067000000}"/>
    <cellStyle name="20% - Énfasis5 14" xfId="108" xr:uid="{00000000-0005-0000-0000-000068000000}"/>
    <cellStyle name="20% - Énfasis5 15" xfId="109" xr:uid="{00000000-0005-0000-0000-000069000000}"/>
    <cellStyle name="20% - Énfasis5 16" xfId="110" xr:uid="{00000000-0005-0000-0000-00006A000000}"/>
    <cellStyle name="20% - Énfasis5 17" xfId="111" xr:uid="{00000000-0005-0000-0000-00006B000000}"/>
    <cellStyle name="20% - Énfasis5 18" xfId="112" xr:uid="{00000000-0005-0000-0000-00006C000000}"/>
    <cellStyle name="20% - Énfasis5 19" xfId="113" xr:uid="{00000000-0005-0000-0000-00006D000000}"/>
    <cellStyle name="20% - Énfasis5 2" xfId="114" xr:uid="{00000000-0005-0000-0000-00006E000000}"/>
    <cellStyle name="20% - Énfasis5 2 2" xfId="115" xr:uid="{00000000-0005-0000-0000-00006F000000}"/>
    <cellStyle name="20% - Énfasis5 2 3" xfId="116" xr:uid="{00000000-0005-0000-0000-000070000000}"/>
    <cellStyle name="20% - Énfasis5 20" xfId="117" xr:uid="{00000000-0005-0000-0000-000071000000}"/>
    <cellStyle name="20% - Énfasis5 21" xfId="118" xr:uid="{00000000-0005-0000-0000-000072000000}"/>
    <cellStyle name="20% - Énfasis5 22" xfId="119" xr:uid="{00000000-0005-0000-0000-000073000000}"/>
    <cellStyle name="20% - Énfasis5 23" xfId="120" xr:uid="{00000000-0005-0000-0000-000074000000}"/>
    <cellStyle name="20% - Énfasis5 24" xfId="121" xr:uid="{00000000-0005-0000-0000-000075000000}"/>
    <cellStyle name="20% - Énfasis5 3" xfId="122" xr:uid="{00000000-0005-0000-0000-000076000000}"/>
    <cellStyle name="20% - Énfasis5 4" xfId="123" xr:uid="{00000000-0005-0000-0000-000077000000}"/>
    <cellStyle name="20% - Énfasis5 5" xfId="124" xr:uid="{00000000-0005-0000-0000-000078000000}"/>
    <cellStyle name="20% - Énfasis5 6" xfId="125" xr:uid="{00000000-0005-0000-0000-000079000000}"/>
    <cellStyle name="20% - Énfasis5 7" xfId="126" xr:uid="{00000000-0005-0000-0000-00007A000000}"/>
    <cellStyle name="20% - Énfasis5 8" xfId="127" xr:uid="{00000000-0005-0000-0000-00007B000000}"/>
    <cellStyle name="20% - Énfasis5 9" xfId="128" xr:uid="{00000000-0005-0000-0000-00007C000000}"/>
    <cellStyle name="20% - Énfasis6 10" xfId="129" xr:uid="{00000000-0005-0000-0000-00007D000000}"/>
    <cellStyle name="20% - Énfasis6 11" xfId="130" xr:uid="{00000000-0005-0000-0000-00007E000000}"/>
    <cellStyle name="20% - Énfasis6 12" xfId="131" xr:uid="{00000000-0005-0000-0000-00007F000000}"/>
    <cellStyle name="20% - Énfasis6 13" xfId="132" xr:uid="{00000000-0005-0000-0000-000080000000}"/>
    <cellStyle name="20% - Énfasis6 14" xfId="133" xr:uid="{00000000-0005-0000-0000-000081000000}"/>
    <cellStyle name="20% - Énfasis6 15" xfId="134" xr:uid="{00000000-0005-0000-0000-000082000000}"/>
    <cellStyle name="20% - Énfasis6 16" xfId="135" xr:uid="{00000000-0005-0000-0000-000083000000}"/>
    <cellStyle name="20% - Énfasis6 17" xfId="136" xr:uid="{00000000-0005-0000-0000-000084000000}"/>
    <cellStyle name="20% - Énfasis6 18" xfId="137" xr:uid="{00000000-0005-0000-0000-000085000000}"/>
    <cellStyle name="20% - Énfasis6 19" xfId="138" xr:uid="{00000000-0005-0000-0000-000086000000}"/>
    <cellStyle name="20% - Énfasis6 2" xfId="139" xr:uid="{00000000-0005-0000-0000-000087000000}"/>
    <cellStyle name="20% - Énfasis6 2 2" xfId="140" xr:uid="{00000000-0005-0000-0000-000088000000}"/>
    <cellStyle name="20% - Énfasis6 2 3" xfId="141" xr:uid="{00000000-0005-0000-0000-000089000000}"/>
    <cellStyle name="20% - Énfasis6 20" xfId="142" xr:uid="{00000000-0005-0000-0000-00008A000000}"/>
    <cellStyle name="20% - Énfasis6 21" xfId="143" xr:uid="{00000000-0005-0000-0000-00008B000000}"/>
    <cellStyle name="20% - Énfasis6 22" xfId="144" xr:uid="{00000000-0005-0000-0000-00008C000000}"/>
    <cellStyle name="20% - Énfasis6 23" xfId="145" xr:uid="{00000000-0005-0000-0000-00008D000000}"/>
    <cellStyle name="20% - Énfasis6 24" xfId="146" xr:uid="{00000000-0005-0000-0000-00008E000000}"/>
    <cellStyle name="20% - Énfasis6 3" xfId="147" xr:uid="{00000000-0005-0000-0000-00008F000000}"/>
    <cellStyle name="20% - Énfasis6 4" xfId="148" xr:uid="{00000000-0005-0000-0000-000090000000}"/>
    <cellStyle name="20% - Énfasis6 5" xfId="149" xr:uid="{00000000-0005-0000-0000-000091000000}"/>
    <cellStyle name="20% - Énfasis6 6" xfId="150" xr:uid="{00000000-0005-0000-0000-000092000000}"/>
    <cellStyle name="20% - Énfasis6 7" xfId="151" xr:uid="{00000000-0005-0000-0000-000093000000}"/>
    <cellStyle name="20% - Énfasis6 8" xfId="152" xr:uid="{00000000-0005-0000-0000-000094000000}"/>
    <cellStyle name="20% - Énfasis6 9" xfId="153" xr:uid="{00000000-0005-0000-0000-000095000000}"/>
    <cellStyle name="40% - Énfasis1 10" xfId="154" xr:uid="{00000000-0005-0000-0000-000096000000}"/>
    <cellStyle name="40% - Énfasis1 11" xfId="155" xr:uid="{00000000-0005-0000-0000-000097000000}"/>
    <cellStyle name="40% - Énfasis1 12" xfId="156" xr:uid="{00000000-0005-0000-0000-000098000000}"/>
    <cellStyle name="40% - Énfasis1 13" xfId="157" xr:uid="{00000000-0005-0000-0000-000099000000}"/>
    <cellStyle name="40% - Énfasis1 14" xfId="158" xr:uid="{00000000-0005-0000-0000-00009A000000}"/>
    <cellStyle name="40% - Énfasis1 15" xfId="159" xr:uid="{00000000-0005-0000-0000-00009B000000}"/>
    <cellStyle name="40% - Énfasis1 16" xfId="160" xr:uid="{00000000-0005-0000-0000-00009C000000}"/>
    <cellStyle name="40% - Énfasis1 17" xfId="161" xr:uid="{00000000-0005-0000-0000-00009D000000}"/>
    <cellStyle name="40% - Énfasis1 18" xfId="162" xr:uid="{00000000-0005-0000-0000-00009E000000}"/>
    <cellStyle name="40% - Énfasis1 19" xfId="163" xr:uid="{00000000-0005-0000-0000-00009F000000}"/>
    <cellStyle name="40% - Énfasis1 2" xfId="164" xr:uid="{00000000-0005-0000-0000-0000A0000000}"/>
    <cellStyle name="40% - Énfasis1 2 2" xfId="165" xr:uid="{00000000-0005-0000-0000-0000A1000000}"/>
    <cellStyle name="40% - Énfasis1 2 3" xfId="166" xr:uid="{00000000-0005-0000-0000-0000A2000000}"/>
    <cellStyle name="40% - Énfasis1 20" xfId="167" xr:uid="{00000000-0005-0000-0000-0000A3000000}"/>
    <cellStyle name="40% - Énfasis1 21" xfId="168" xr:uid="{00000000-0005-0000-0000-0000A4000000}"/>
    <cellStyle name="40% - Énfasis1 22" xfId="169" xr:uid="{00000000-0005-0000-0000-0000A5000000}"/>
    <cellStyle name="40% - Énfasis1 23" xfId="170" xr:uid="{00000000-0005-0000-0000-0000A6000000}"/>
    <cellStyle name="40% - Énfasis1 24" xfId="171" xr:uid="{00000000-0005-0000-0000-0000A7000000}"/>
    <cellStyle name="40% - Énfasis1 3" xfId="172" xr:uid="{00000000-0005-0000-0000-0000A8000000}"/>
    <cellStyle name="40% - Énfasis1 4" xfId="173" xr:uid="{00000000-0005-0000-0000-0000A9000000}"/>
    <cellStyle name="40% - Énfasis1 5" xfId="174" xr:uid="{00000000-0005-0000-0000-0000AA000000}"/>
    <cellStyle name="40% - Énfasis1 6" xfId="175" xr:uid="{00000000-0005-0000-0000-0000AB000000}"/>
    <cellStyle name="40% - Énfasis1 7" xfId="176" xr:uid="{00000000-0005-0000-0000-0000AC000000}"/>
    <cellStyle name="40% - Énfasis1 8" xfId="177" xr:uid="{00000000-0005-0000-0000-0000AD000000}"/>
    <cellStyle name="40% - Énfasis1 9" xfId="178" xr:uid="{00000000-0005-0000-0000-0000AE000000}"/>
    <cellStyle name="40% - Énfasis2 10" xfId="179" xr:uid="{00000000-0005-0000-0000-0000AF000000}"/>
    <cellStyle name="40% - Énfasis2 11" xfId="180" xr:uid="{00000000-0005-0000-0000-0000B0000000}"/>
    <cellStyle name="40% - Énfasis2 12" xfId="181" xr:uid="{00000000-0005-0000-0000-0000B1000000}"/>
    <cellStyle name="40% - Énfasis2 13" xfId="182" xr:uid="{00000000-0005-0000-0000-0000B2000000}"/>
    <cellStyle name="40% - Énfasis2 14" xfId="183" xr:uid="{00000000-0005-0000-0000-0000B3000000}"/>
    <cellStyle name="40% - Énfasis2 15" xfId="184" xr:uid="{00000000-0005-0000-0000-0000B4000000}"/>
    <cellStyle name="40% - Énfasis2 16" xfId="185" xr:uid="{00000000-0005-0000-0000-0000B5000000}"/>
    <cellStyle name="40% - Énfasis2 17" xfId="186" xr:uid="{00000000-0005-0000-0000-0000B6000000}"/>
    <cellStyle name="40% - Énfasis2 18" xfId="187" xr:uid="{00000000-0005-0000-0000-0000B7000000}"/>
    <cellStyle name="40% - Énfasis2 19" xfId="188" xr:uid="{00000000-0005-0000-0000-0000B8000000}"/>
    <cellStyle name="40% - Énfasis2 2" xfId="189" xr:uid="{00000000-0005-0000-0000-0000B9000000}"/>
    <cellStyle name="40% - Énfasis2 2 2" xfId="190" xr:uid="{00000000-0005-0000-0000-0000BA000000}"/>
    <cellStyle name="40% - Énfasis2 2 3" xfId="191" xr:uid="{00000000-0005-0000-0000-0000BB000000}"/>
    <cellStyle name="40% - Énfasis2 20" xfId="192" xr:uid="{00000000-0005-0000-0000-0000BC000000}"/>
    <cellStyle name="40% - Énfasis2 21" xfId="193" xr:uid="{00000000-0005-0000-0000-0000BD000000}"/>
    <cellStyle name="40% - Énfasis2 22" xfId="194" xr:uid="{00000000-0005-0000-0000-0000BE000000}"/>
    <cellStyle name="40% - Énfasis2 23" xfId="195" xr:uid="{00000000-0005-0000-0000-0000BF000000}"/>
    <cellStyle name="40% - Énfasis2 24" xfId="196" xr:uid="{00000000-0005-0000-0000-0000C0000000}"/>
    <cellStyle name="40% - Énfasis2 3" xfId="197" xr:uid="{00000000-0005-0000-0000-0000C1000000}"/>
    <cellStyle name="40% - Énfasis2 4" xfId="198" xr:uid="{00000000-0005-0000-0000-0000C2000000}"/>
    <cellStyle name="40% - Énfasis2 5" xfId="199" xr:uid="{00000000-0005-0000-0000-0000C3000000}"/>
    <cellStyle name="40% - Énfasis2 6" xfId="200" xr:uid="{00000000-0005-0000-0000-0000C4000000}"/>
    <cellStyle name="40% - Énfasis2 7" xfId="201" xr:uid="{00000000-0005-0000-0000-0000C5000000}"/>
    <cellStyle name="40% - Énfasis2 8" xfId="202" xr:uid="{00000000-0005-0000-0000-0000C6000000}"/>
    <cellStyle name="40% - Énfasis2 9" xfId="203" xr:uid="{00000000-0005-0000-0000-0000C7000000}"/>
    <cellStyle name="40% - Énfasis3 10" xfId="204" xr:uid="{00000000-0005-0000-0000-0000C8000000}"/>
    <cellStyle name="40% - Énfasis3 11" xfId="205" xr:uid="{00000000-0005-0000-0000-0000C9000000}"/>
    <cellStyle name="40% - Énfasis3 12" xfId="206" xr:uid="{00000000-0005-0000-0000-0000CA000000}"/>
    <cellStyle name="40% - Énfasis3 13" xfId="207" xr:uid="{00000000-0005-0000-0000-0000CB000000}"/>
    <cellStyle name="40% - Énfasis3 14" xfId="208" xr:uid="{00000000-0005-0000-0000-0000CC000000}"/>
    <cellStyle name="40% - Énfasis3 15" xfId="209" xr:uid="{00000000-0005-0000-0000-0000CD000000}"/>
    <cellStyle name="40% - Énfasis3 16" xfId="210" xr:uid="{00000000-0005-0000-0000-0000CE000000}"/>
    <cellStyle name="40% - Énfasis3 17" xfId="211" xr:uid="{00000000-0005-0000-0000-0000CF000000}"/>
    <cellStyle name="40% - Énfasis3 18" xfId="212" xr:uid="{00000000-0005-0000-0000-0000D0000000}"/>
    <cellStyle name="40% - Énfasis3 19" xfId="213" xr:uid="{00000000-0005-0000-0000-0000D1000000}"/>
    <cellStyle name="40% - Énfasis3 2" xfId="214" xr:uid="{00000000-0005-0000-0000-0000D2000000}"/>
    <cellStyle name="40% - Énfasis3 2 2" xfId="215" xr:uid="{00000000-0005-0000-0000-0000D3000000}"/>
    <cellStyle name="40% - Énfasis3 2 3" xfId="216" xr:uid="{00000000-0005-0000-0000-0000D4000000}"/>
    <cellStyle name="40% - Énfasis3 20" xfId="217" xr:uid="{00000000-0005-0000-0000-0000D5000000}"/>
    <cellStyle name="40% - Énfasis3 21" xfId="218" xr:uid="{00000000-0005-0000-0000-0000D6000000}"/>
    <cellStyle name="40% - Énfasis3 22" xfId="219" xr:uid="{00000000-0005-0000-0000-0000D7000000}"/>
    <cellStyle name="40% - Énfasis3 23" xfId="220" xr:uid="{00000000-0005-0000-0000-0000D8000000}"/>
    <cellStyle name="40% - Énfasis3 24" xfId="221" xr:uid="{00000000-0005-0000-0000-0000D9000000}"/>
    <cellStyle name="40% - Énfasis3 3" xfId="222" xr:uid="{00000000-0005-0000-0000-0000DA000000}"/>
    <cellStyle name="40% - Énfasis3 4" xfId="223" xr:uid="{00000000-0005-0000-0000-0000DB000000}"/>
    <cellStyle name="40% - Énfasis3 5" xfId="224" xr:uid="{00000000-0005-0000-0000-0000DC000000}"/>
    <cellStyle name="40% - Énfasis3 6" xfId="225" xr:uid="{00000000-0005-0000-0000-0000DD000000}"/>
    <cellStyle name="40% - Énfasis3 7" xfId="226" xr:uid="{00000000-0005-0000-0000-0000DE000000}"/>
    <cellStyle name="40% - Énfasis3 8" xfId="227" xr:uid="{00000000-0005-0000-0000-0000DF000000}"/>
    <cellStyle name="40% - Énfasis3 9" xfId="228" xr:uid="{00000000-0005-0000-0000-0000E0000000}"/>
    <cellStyle name="40% - Énfasis4 10" xfId="229" xr:uid="{00000000-0005-0000-0000-0000E1000000}"/>
    <cellStyle name="40% - Énfasis4 11" xfId="230" xr:uid="{00000000-0005-0000-0000-0000E2000000}"/>
    <cellStyle name="40% - Énfasis4 12" xfId="231" xr:uid="{00000000-0005-0000-0000-0000E3000000}"/>
    <cellStyle name="40% - Énfasis4 13" xfId="232" xr:uid="{00000000-0005-0000-0000-0000E4000000}"/>
    <cellStyle name="40% - Énfasis4 14" xfId="233" xr:uid="{00000000-0005-0000-0000-0000E5000000}"/>
    <cellStyle name="40% - Énfasis4 15" xfId="234" xr:uid="{00000000-0005-0000-0000-0000E6000000}"/>
    <cellStyle name="40% - Énfasis4 16" xfId="235" xr:uid="{00000000-0005-0000-0000-0000E7000000}"/>
    <cellStyle name="40% - Énfasis4 17" xfId="236" xr:uid="{00000000-0005-0000-0000-0000E8000000}"/>
    <cellStyle name="40% - Énfasis4 18" xfId="237" xr:uid="{00000000-0005-0000-0000-0000E9000000}"/>
    <cellStyle name="40% - Énfasis4 19" xfId="238" xr:uid="{00000000-0005-0000-0000-0000EA000000}"/>
    <cellStyle name="40% - Énfasis4 2" xfId="239" xr:uid="{00000000-0005-0000-0000-0000EB000000}"/>
    <cellStyle name="40% - Énfasis4 2 2" xfId="240" xr:uid="{00000000-0005-0000-0000-0000EC000000}"/>
    <cellStyle name="40% - Énfasis4 2 3" xfId="241" xr:uid="{00000000-0005-0000-0000-0000ED000000}"/>
    <cellStyle name="40% - Énfasis4 20" xfId="242" xr:uid="{00000000-0005-0000-0000-0000EE000000}"/>
    <cellStyle name="40% - Énfasis4 21" xfId="243" xr:uid="{00000000-0005-0000-0000-0000EF000000}"/>
    <cellStyle name="40% - Énfasis4 22" xfId="244" xr:uid="{00000000-0005-0000-0000-0000F0000000}"/>
    <cellStyle name="40% - Énfasis4 23" xfId="245" xr:uid="{00000000-0005-0000-0000-0000F1000000}"/>
    <cellStyle name="40% - Énfasis4 24" xfId="246" xr:uid="{00000000-0005-0000-0000-0000F2000000}"/>
    <cellStyle name="40% - Énfasis4 3" xfId="247" xr:uid="{00000000-0005-0000-0000-0000F3000000}"/>
    <cellStyle name="40% - Énfasis4 4" xfId="248" xr:uid="{00000000-0005-0000-0000-0000F4000000}"/>
    <cellStyle name="40% - Énfasis4 5" xfId="249" xr:uid="{00000000-0005-0000-0000-0000F5000000}"/>
    <cellStyle name="40% - Énfasis4 6" xfId="250" xr:uid="{00000000-0005-0000-0000-0000F6000000}"/>
    <cellStyle name="40% - Énfasis4 7" xfId="251" xr:uid="{00000000-0005-0000-0000-0000F7000000}"/>
    <cellStyle name="40% - Énfasis4 8" xfId="252" xr:uid="{00000000-0005-0000-0000-0000F8000000}"/>
    <cellStyle name="40% - Énfasis4 9" xfId="253" xr:uid="{00000000-0005-0000-0000-0000F9000000}"/>
    <cellStyle name="40% - Énfasis5 10" xfId="254" xr:uid="{00000000-0005-0000-0000-0000FA000000}"/>
    <cellStyle name="40% - Énfasis5 11" xfId="255" xr:uid="{00000000-0005-0000-0000-0000FB000000}"/>
    <cellStyle name="40% - Énfasis5 12" xfId="256" xr:uid="{00000000-0005-0000-0000-0000FC000000}"/>
    <cellStyle name="40% - Énfasis5 13" xfId="257" xr:uid="{00000000-0005-0000-0000-0000FD000000}"/>
    <cellStyle name="40% - Énfasis5 14" xfId="258" xr:uid="{00000000-0005-0000-0000-0000FE000000}"/>
    <cellStyle name="40% - Énfasis5 15" xfId="259" xr:uid="{00000000-0005-0000-0000-0000FF000000}"/>
    <cellStyle name="40% - Énfasis5 16" xfId="260" xr:uid="{00000000-0005-0000-0000-000000010000}"/>
    <cellStyle name="40% - Énfasis5 17" xfId="261" xr:uid="{00000000-0005-0000-0000-000001010000}"/>
    <cellStyle name="40% - Énfasis5 18" xfId="262" xr:uid="{00000000-0005-0000-0000-000002010000}"/>
    <cellStyle name="40% - Énfasis5 19" xfId="263" xr:uid="{00000000-0005-0000-0000-000003010000}"/>
    <cellStyle name="40% - Énfasis5 2" xfId="264" xr:uid="{00000000-0005-0000-0000-000004010000}"/>
    <cellStyle name="40% - Énfasis5 2 2" xfId="265" xr:uid="{00000000-0005-0000-0000-000005010000}"/>
    <cellStyle name="40% - Énfasis5 2 3" xfId="266" xr:uid="{00000000-0005-0000-0000-000006010000}"/>
    <cellStyle name="40% - Énfasis5 20" xfId="267" xr:uid="{00000000-0005-0000-0000-000007010000}"/>
    <cellStyle name="40% - Énfasis5 21" xfId="268" xr:uid="{00000000-0005-0000-0000-000008010000}"/>
    <cellStyle name="40% - Énfasis5 22" xfId="269" xr:uid="{00000000-0005-0000-0000-000009010000}"/>
    <cellStyle name="40% - Énfasis5 23" xfId="270" xr:uid="{00000000-0005-0000-0000-00000A010000}"/>
    <cellStyle name="40% - Énfasis5 24" xfId="271" xr:uid="{00000000-0005-0000-0000-00000B010000}"/>
    <cellStyle name="40% - Énfasis5 3" xfId="272" xr:uid="{00000000-0005-0000-0000-00000C010000}"/>
    <cellStyle name="40% - Énfasis5 4" xfId="273" xr:uid="{00000000-0005-0000-0000-00000D010000}"/>
    <cellStyle name="40% - Énfasis5 5" xfId="274" xr:uid="{00000000-0005-0000-0000-00000E010000}"/>
    <cellStyle name="40% - Énfasis5 6" xfId="275" xr:uid="{00000000-0005-0000-0000-00000F010000}"/>
    <cellStyle name="40% - Énfasis5 7" xfId="276" xr:uid="{00000000-0005-0000-0000-000010010000}"/>
    <cellStyle name="40% - Énfasis5 8" xfId="277" xr:uid="{00000000-0005-0000-0000-000011010000}"/>
    <cellStyle name="40% - Énfasis5 9" xfId="278" xr:uid="{00000000-0005-0000-0000-000012010000}"/>
    <cellStyle name="40% - Énfasis6 10" xfId="279" xr:uid="{00000000-0005-0000-0000-000013010000}"/>
    <cellStyle name="40% - Énfasis6 11" xfId="280" xr:uid="{00000000-0005-0000-0000-000014010000}"/>
    <cellStyle name="40% - Énfasis6 12" xfId="281" xr:uid="{00000000-0005-0000-0000-000015010000}"/>
    <cellStyle name="40% - Énfasis6 13" xfId="282" xr:uid="{00000000-0005-0000-0000-000016010000}"/>
    <cellStyle name="40% - Énfasis6 14" xfId="283" xr:uid="{00000000-0005-0000-0000-000017010000}"/>
    <cellStyle name="40% - Énfasis6 15" xfId="284" xr:uid="{00000000-0005-0000-0000-000018010000}"/>
    <cellStyle name="40% - Énfasis6 16" xfId="285" xr:uid="{00000000-0005-0000-0000-000019010000}"/>
    <cellStyle name="40% - Énfasis6 17" xfId="286" xr:uid="{00000000-0005-0000-0000-00001A010000}"/>
    <cellStyle name="40% - Énfasis6 18" xfId="287" xr:uid="{00000000-0005-0000-0000-00001B010000}"/>
    <cellStyle name="40% - Énfasis6 19" xfId="288" xr:uid="{00000000-0005-0000-0000-00001C010000}"/>
    <cellStyle name="40% - Énfasis6 2" xfId="289" xr:uid="{00000000-0005-0000-0000-00001D010000}"/>
    <cellStyle name="40% - Énfasis6 2 2" xfId="290" xr:uid="{00000000-0005-0000-0000-00001E010000}"/>
    <cellStyle name="40% - Énfasis6 2 3" xfId="291" xr:uid="{00000000-0005-0000-0000-00001F010000}"/>
    <cellStyle name="40% - Énfasis6 20" xfId="292" xr:uid="{00000000-0005-0000-0000-000020010000}"/>
    <cellStyle name="40% - Énfasis6 21" xfId="293" xr:uid="{00000000-0005-0000-0000-000021010000}"/>
    <cellStyle name="40% - Énfasis6 22" xfId="294" xr:uid="{00000000-0005-0000-0000-000022010000}"/>
    <cellStyle name="40% - Énfasis6 23" xfId="295" xr:uid="{00000000-0005-0000-0000-000023010000}"/>
    <cellStyle name="40% - Énfasis6 24" xfId="296" xr:uid="{00000000-0005-0000-0000-000024010000}"/>
    <cellStyle name="40% - Énfasis6 3" xfId="297" xr:uid="{00000000-0005-0000-0000-000025010000}"/>
    <cellStyle name="40% - Énfasis6 4" xfId="298" xr:uid="{00000000-0005-0000-0000-000026010000}"/>
    <cellStyle name="40% - Énfasis6 5" xfId="299" xr:uid="{00000000-0005-0000-0000-000027010000}"/>
    <cellStyle name="40% - Énfasis6 6" xfId="300" xr:uid="{00000000-0005-0000-0000-000028010000}"/>
    <cellStyle name="40% - Énfasis6 7" xfId="301" xr:uid="{00000000-0005-0000-0000-000029010000}"/>
    <cellStyle name="40% - Énfasis6 8" xfId="302" xr:uid="{00000000-0005-0000-0000-00002A010000}"/>
    <cellStyle name="40% - Énfasis6 9" xfId="303" xr:uid="{00000000-0005-0000-0000-00002B010000}"/>
    <cellStyle name="60% - Énfasis1 2" xfId="304" xr:uid="{00000000-0005-0000-0000-00002C010000}"/>
    <cellStyle name="60% - Énfasis2 2" xfId="305" xr:uid="{00000000-0005-0000-0000-00002D010000}"/>
    <cellStyle name="60% - Énfasis3 2" xfId="306" xr:uid="{00000000-0005-0000-0000-00002E010000}"/>
    <cellStyle name="60% - Énfasis4 2" xfId="307" xr:uid="{00000000-0005-0000-0000-00002F010000}"/>
    <cellStyle name="60% - Énfasis5 2" xfId="308" xr:uid="{00000000-0005-0000-0000-000030010000}"/>
    <cellStyle name="60% - Énfasis6 2" xfId="309" xr:uid="{00000000-0005-0000-0000-000031010000}"/>
    <cellStyle name="Accent1" xfId="310" xr:uid="{00000000-0005-0000-0000-000032010000}"/>
    <cellStyle name="Accent1 - 20%" xfId="311" xr:uid="{00000000-0005-0000-0000-000033010000}"/>
    <cellStyle name="Accent1 - 20% 2" xfId="312" xr:uid="{00000000-0005-0000-0000-000034010000}"/>
    <cellStyle name="Accent1 - 20% 2 2" xfId="313" xr:uid="{00000000-0005-0000-0000-000035010000}"/>
    <cellStyle name="Accent1 - 20% 3" xfId="314" xr:uid="{00000000-0005-0000-0000-000036010000}"/>
    <cellStyle name="Accent1 - 40%" xfId="315" xr:uid="{00000000-0005-0000-0000-000037010000}"/>
    <cellStyle name="Accent1 - 40% 2" xfId="316" xr:uid="{00000000-0005-0000-0000-000038010000}"/>
    <cellStyle name="Accent1 - 40% 2 2" xfId="317" xr:uid="{00000000-0005-0000-0000-000039010000}"/>
    <cellStyle name="Accent1 - 40% 3" xfId="318" xr:uid="{00000000-0005-0000-0000-00003A010000}"/>
    <cellStyle name="Accent1 - 60%" xfId="319" xr:uid="{00000000-0005-0000-0000-00003B010000}"/>
    <cellStyle name="Accent1 - 60% 2" xfId="320" xr:uid="{00000000-0005-0000-0000-00003C010000}"/>
    <cellStyle name="Accent1 2" xfId="321" xr:uid="{00000000-0005-0000-0000-00003D010000}"/>
    <cellStyle name="Accent1 3" xfId="322" xr:uid="{00000000-0005-0000-0000-00003E010000}"/>
    <cellStyle name="Accent1 4" xfId="323" xr:uid="{00000000-0005-0000-0000-00003F010000}"/>
    <cellStyle name="Accent2" xfId="324" xr:uid="{00000000-0005-0000-0000-000040010000}"/>
    <cellStyle name="Accent2 - 20%" xfId="325" xr:uid="{00000000-0005-0000-0000-000041010000}"/>
    <cellStyle name="Accent2 - 20% 2" xfId="326" xr:uid="{00000000-0005-0000-0000-000042010000}"/>
    <cellStyle name="Accent2 - 20% 2 2" xfId="327" xr:uid="{00000000-0005-0000-0000-000043010000}"/>
    <cellStyle name="Accent2 - 20% 3" xfId="328" xr:uid="{00000000-0005-0000-0000-000044010000}"/>
    <cellStyle name="Accent2 - 40%" xfId="329" xr:uid="{00000000-0005-0000-0000-000045010000}"/>
    <cellStyle name="Accent2 - 40% 2" xfId="330" xr:uid="{00000000-0005-0000-0000-000046010000}"/>
    <cellStyle name="Accent2 - 40% 2 2" xfId="331" xr:uid="{00000000-0005-0000-0000-000047010000}"/>
    <cellStyle name="Accent2 - 40% 3" xfId="332" xr:uid="{00000000-0005-0000-0000-000048010000}"/>
    <cellStyle name="Accent2 - 60%" xfId="333" xr:uid="{00000000-0005-0000-0000-000049010000}"/>
    <cellStyle name="Accent2 - 60% 2" xfId="334" xr:uid="{00000000-0005-0000-0000-00004A010000}"/>
    <cellStyle name="Accent2 2" xfId="335" xr:uid="{00000000-0005-0000-0000-00004B010000}"/>
    <cellStyle name="Accent2 3" xfId="336" xr:uid="{00000000-0005-0000-0000-00004C010000}"/>
    <cellStyle name="Accent2 4" xfId="337" xr:uid="{00000000-0005-0000-0000-00004D010000}"/>
    <cellStyle name="Accent3" xfId="338" xr:uid="{00000000-0005-0000-0000-00004E010000}"/>
    <cellStyle name="Accent3 - 20%" xfId="339" xr:uid="{00000000-0005-0000-0000-00004F010000}"/>
    <cellStyle name="Accent3 - 20% 2" xfId="340" xr:uid="{00000000-0005-0000-0000-000050010000}"/>
    <cellStyle name="Accent3 - 20% 2 2" xfId="341" xr:uid="{00000000-0005-0000-0000-000051010000}"/>
    <cellStyle name="Accent3 - 20% 3" xfId="342" xr:uid="{00000000-0005-0000-0000-000052010000}"/>
    <cellStyle name="Accent3 - 40%" xfId="343" xr:uid="{00000000-0005-0000-0000-000053010000}"/>
    <cellStyle name="Accent3 - 40% 2" xfId="344" xr:uid="{00000000-0005-0000-0000-000054010000}"/>
    <cellStyle name="Accent3 - 40% 2 2" xfId="345" xr:uid="{00000000-0005-0000-0000-000055010000}"/>
    <cellStyle name="Accent3 - 40% 3" xfId="346" xr:uid="{00000000-0005-0000-0000-000056010000}"/>
    <cellStyle name="Accent3 - 60%" xfId="347" xr:uid="{00000000-0005-0000-0000-000057010000}"/>
    <cellStyle name="Accent3 - 60% 2" xfId="348" xr:uid="{00000000-0005-0000-0000-000058010000}"/>
    <cellStyle name="Accent3 2" xfId="349" xr:uid="{00000000-0005-0000-0000-000059010000}"/>
    <cellStyle name="Accent3 3" xfId="350" xr:uid="{00000000-0005-0000-0000-00005A010000}"/>
    <cellStyle name="Accent3 4" xfId="351" xr:uid="{00000000-0005-0000-0000-00005B010000}"/>
    <cellStyle name="Accent4" xfId="352" xr:uid="{00000000-0005-0000-0000-00005C010000}"/>
    <cellStyle name="Accent4 - 20%" xfId="353" xr:uid="{00000000-0005-0000-0000-00005D010000}"/>
    <cellStyle name="Accent4 - 20% 2" xfId="354" xr:uid="{00000000-0005-0000-0000-00005E010000}"/>
    <cellStyle name="Accent4 - 20% 2 2" xfId="355" xr:uid="{00000000-0005-0000-0000-00005F010000}"/>
    <cellStyle name="Accent4 - 20% 3" xfId="356" xr:uid="{00000000-0005-0000-0000-000060010000}"/>
    <cellStyle name="Accent4 - 40%" xfId="357" xr:uid="{00000000-0005-0000-0000-000061010000}"/>
    <cellStyle name="Accent4 - 40% 2" xfId="358" xr:uid="{00000000-0005-0000-0000-000062010000}"/>
    <cellStyle name="Accent4 - 40% 2 2" xfId="359" xr:uid="{00000000-0005-0000-0000-000063010000}"/>
    <cellStyle name="Accent4 - 40% 3" xfId="360" xr:uid="{00000000-0005-0000-0000-000064010000}"/>
    <cellStyle name="Accent4 - 60%" xfId="361" xr:uid="{00000000-0005-0000-0000-000065010000}"/>
    <cellStyle name="Accent4 - 60% 2" xfId="362" xr:uid="{00000000-0005-0000-0000-000066010000}"/>
    <cellStyle name="Accent4 2" xfId="363" xr:uid="{00000000-0005-0000-0000-000067010000}"/>
    <cellStyle name="Accent4 3" xfId="364" xr:uid="{00000000-0005-0000-0000-000068010000}"/>
    <cellStyle name="Accent4 4" xfId="365" xr:uid="{00000000-0005-0000-0000-000069010000}"/>
    <cellStyle name="Accent5" xfId="366" xr:uid="{00000000-0005-0000-0000-00006A010000}"/>
    <cellStyle name="Accent5 - 20%" xfId="367" xr:uid="{00000000-0005-0000-0000-00006B010000}"/>
    <cellStyle name="Accent5 - 20% 2" xfId="368" xr:uid="{00000000-0005-0000-0000-00006C010000}"/>
    <cellStyle name="Accent5 - 20% 2 2" xfId="369" xr:uid="{00000000-0005-0000-0000-00006D010000}"/>
    <cellStyle name="Accent5 - 20% 3" xfId="370" xr:uid="{00000000-0005-0000-0000-00006E010000}"/>
    <cellStyle name="Accent5 - 40%" xfId="371" xr:uid="{00000000-0005-0000-0000-00006F010000}"/>
    <cellStyle name="Accent5 - 40% 2" xfId="372" xr:uid="{00000000-0005-0000-0000-000070010000}"/>
    <cellStyle name="Accent5 - 40% 2 2" xfId="373" xr:uid="{00000000-0005-0000-0000-000071010000}"/>
    <cellStyle name="Accent5 - 40% 3" xfId="374" xr:uid="{00000000-0005-0000-0000-000072010000}"/>
    <cellStyle name="Accent5 - 60%" xfId="375" xr:uid="{00000000-0005-0000-0000-000073010000}"/>
    <cellStyle name="Accent5 - 60% 2" xfId="376" xr:uid="{00000000-0005-0000-0000-000074010000}"/>
    <cellStyle name="Accent5 2" xfId="377" xr:uid="{00000000-0005-0000-0000-000075010000}"/>
    <cellStyle name="Accent5 3" xfId="378" xr:uid="{00000000-0005-0000-0000-000076010000}"/>
    <cellStyle name="Accent5 4" xfId="379" xr:uid="{00000000-0005-0000-0000-000077010000}"/>
    <cellStyle name="Accent6" xfId="380" xr:uid="{00000000-0005-0000-0000-000078010000}"/>
    <cellStyle name="Accent6 - 20%" xfId="381" xr:uid="{00000000-0005-0000-0000-000079010000}"/>
    <cellStyle name="Accent6 - 20% 2" xfId="382" xr:uid="{00000000-0005-0000-0000-00007A010000}"/>
    <cellStyle name="Accent6 - 20% 2 2" xfId="383" xr:uid="{00000000-0005-0000-0000-00007B010000}"/>
    <cellStyle name="Accent6 - 20% 3" xfId="384" xr:uid="{00000000-0005-0000-0000-00007C010000}"/>
    <cellStyle name="Accent6 - 40%" xfId="385" xr:uid="{00000000-0005-0000-0000-00007D010000}"/>
    <cellStyle name="Accent6 - 40% 2" xfId="386" xr:uid="{00000000-0005-0000-0000-00007E010000}"/>
    <cellStyle name="Accent6 - 40% 2 2" xfId="387" xr:uid="{00000000-0005-0000-0000-00007F010000}"/>
    <cellStyle name="Accent6 - 40% 3" xfId="388" xr:uid="{00000000-0005-0000-0000-000080010000}"/>
    <cellStyle name="Accent6 - 60%" xfId="389" xr:uid="{00000000-0005-0000-0000-000081010000}"/>
    <cellStyle name="Accent6 - 60% 2" xfId="390" xr:uid="{00000000-0005-0000-0000-000082010000}"/>
    <cellStyle name="Accent6 2" xfId="391" xr:uid="{00000000-0005-0000-0000-000083010000}"/>
    <cellStyle name="Accent6 3" xfId="392" xr:uid="{00000000-0005-0000-0000-000084010000}"/>
    <cellStyle name="Accent6 4" xfId="393" xr:uid="{00000000-0005-0000-0000-000085010000}"/>
    <cellStyle name="Bad" xfId="394" xr:uid="{00000000-0005-0000-0000-000086010000}"/>
    <cellStyle name="Buena 2" xfId="395" xr:uid="{00000000-0005-0000-0000-000087010000}"/>
    <cellStyle name="Calculation" xfId="396" xr:uid="{00000000-0005-0000-0000-000088010000}"/>
    <cellStyle name="Calculation 2" xfId="397" xr:uid="{00000000-0005-0000-0000-000089010000}"/>
    <cellStyle name="Cálculo 2" xfId="398" xr:uid="{00000000-0005-0000-0000-00008A010000}"/>
    <cellStyle name="Celda de comprobación 2" xfId="399" xr:uid="{00000000-0005-0000-0000-00008B010000}"/>
    <cellStyle name="Celda vinculada 2" xfId="400" xr:uid="{00000000-0005-0000-0000-00008C010000}"/>
    <cellStyle name="Emphasis 1" xfId="401" xr:uid="{00000000-0005-0000-0000-00008D010000}"/>
    <cellStyle name="Emphasis 1 2" xfId="402" xr:uid="{00000000-0005-0000-0000-00008E010000}"/>
    <cellStyle name="Emphasis 2" xfId="403" xr:uid="{00000000-0005-0000-0000-00008F010000}"/>
    <cellStyle name="Emphasis 2 2" xfId="404" xr:uid="{00000000-0005-0000-0000-000090010000}"/>
    <cellStyle name="Emphasis 3" xfId="405" xr:uid="{00000000-0005-0000-0000-000091010000}"/>
    <cellStyle name="Emphasis 3 2" xfId="406" xr:uid="{00000000-0005-0000-0000-000092010000}"/>
    <cellStyle name="Encabezado 4 2" xfId="407" xr:uid="{00000000-0005-0000-0000-000093010000}"/>
    <cellStyle name="Énfasis1 2" xfId="408" xr:uid="{00000000-0005-0000-0000-000094010000}"/>
    <cellStyle name="Énfasis2 2" xfId="409" xr:uid="{00000000-0005-0000-0000-000095010000}"/>
    <cellStyle name="Énfasis3 2" xfId="410" xr:uid="{00000000-0005-0000-0000-000096010000}"/>
    <cellStyle name="Énfasis4 2" xfId="411" xr:uid="{00000000-0005-0000-0000-000097010000}"/>
    <cellStyle name="Énfasis5 2" xfId="412" xr:uid="{00000000-0005-0000-0000-000098010000}"/>
    <cellStyle name="Énfasis6 2" xfId="413" xr:uid="{00000000-0005-0000-0000-000099010000}"/>
    <cellStyle name="Entrada 2" xfId="414" xr:uid="{00000000-0005-0000-0000-00009A010000}"/>
    <cellStyle name="Euro" xfId="415" xr:uid="{00000000-0005-0000-0000-00009B010000}"/>
    <cellStyle name="Euro 2" xfId="416" xr:uid="{00000000-0005-0000-0000-00009C010000}"/>
    <cellStyle name="Euro 2 2" xfId="417" xr:uid="{00000000-0005-0000-0000-00009D010000}"/>
    <cellStyle name="Euro 3" xfId="418" xr:uid="{00000000-0005-0000-0000-00009E010000}"/>
    <cellStyle name="Euro 3 2" xfId="419" xr:uid="{00000000-0005-0000-0000-00009F010000}"/>
    <cellStyle name="Euro 4" xfId="420" xr:uid="{00000000-0005-0000-0000-0000A0010000}"/>
    <cellStyle name="Euro 4 2" xfId="421" xr:uid="{00000000-0005-0000-0000-0000A1010000}"/>
    <cellStyle name="Euro 5" xfId="422" xr:uid="{00000000-0005-0000-0000-0000A2010000}"/>
    <cellStyle name="Euro 5 2" xfId="423" xr:uid="{00000000-0005-0000-0000-0000A3010000}"/>
    <cellStyle name="Euro 6" xfId="424" xr:uid="{00000000-0005-0000-0000-0000A4010000}"/>
    <cellStyle name="Euro 7" xfId="425" xr:uid="{00000000-0005-0000-0000-0000A5010000}"/>
    <cellStyle name="Good 2" xfId="426" xr:uid="{00000000-0005-0000-0000-0000A6010000}"/>
    <cellStyle name="Heading 1" xfId="427" xr:uid="{00000000-0005-0000-0000-0000A7010000}"/>
    <cellStyle name="Heading 2" xfId="428" xr:uid="{00000000-0005-0000-0000-0000A8010000}"/>
    <cellStyle name="Heading 3" xfId="429" xr:uid="{00000000-0005-0000-0000-0000A9010000}"/>
    <cellStyle name="Incorrecto 2" xfId="430" xr:uid="{00000000-0005-0000-0000-0000AA010000}"/>
    <cellStyle name="Millares" xfId="1" builtinId="3"/>
    <cellStyle name="Millares 2" xfId="431" xr:uid="{00000000-0005-0000-0000-0000AC010000}"/>
    <cellStyle name="Millares 2 10" xfId="432" xr:uid="{00000000-0005-0000-0000-0000AD010000}"/>
    <cellStyle name="Millares 2 11" xfId="433" xr:uid="{00000000-0005-0000-0000-0000AE010000}"/>
    <cellStyle name="Millares 2 12" xfId="434" xr:uid="{00000000-0005-0000-0000-0000AF010000}"/>
    <cellStyle name="Millares 2 2" xfId="435" xr:uid="{00000000-0005-0000-0000-0000B0010000}"/>
    <cellStyle name="Millares 2 2 2" xfId="436" xr:uid="{00000000-0005-0000-0000-0000B1010000}"/>
    <cellStyle name="Millares 2 3" xfId="437" xr:uid="{00000000-0005-0000-0000-0000B2010000}"/>
    <cellStyle name="Millares 2 4" xfId="438" xr:uid="{00000000-0005-0000-0000-0000B3010000}"/>
    <cellStyle name="Millares 2 5" xfId="439" xr:uid="{00000000-0005-0000-0000-0000B4010000}"/>
    <cellStyle name="Millares 2 6" xfId="440" xr:uid="{00000000-0005-0000-0000-0000B5010000}"/>
    <cellStyle name="Millares 2 7" xfId="441" xr:uid="{00000000-0005-0000-0000-0000B6010000}"/>
    <cellStyle name="Millares 2 8" xfId="442" xr:uid="{00000000-0005-0000-0000-0000B7010000}"/>
    <cellStyle name="Millares 2 9" xfId="443" xr:uid="{00000000-0005-0000-0000-0000B8010000}"/>
    <cellStyle name="Millares 3" xfId="444" xr:uid="{00000000-0005-0000-0000-0000B9010000}"/>
    <cellStyle name="Millares 3 2" xfId="445" xr:uid="{00000000-0005-0000-0000-0000BA010000}"/>
    <cellStyle name="Millares 3 3" xfId="446" xr:uid="{00000000-0005-0000-0000-0000BB010000}"/>
    <cellStyle name="Millares 4" xfId="447" xr:uid="{00000000-0005-0000-0000-0000BC010000}"/>
    <cellStyle name="Millares 4 2" xfId="448" xr:uid="{00000000-0005-0000-0000-0000BD010000}"/>
    <cellStyle name="Millares 4 2 2" xfId="449" xr:uid="{00000000-0005-0000-0000-0000BE010000}"/>
    <cellStyle name="Millares 4 3" xfId="450" xr:uid="{00000000-0005-0000-0000-0000BF010000}"/>
    <cellStyle name="Millares 4 3 2" xfId="451" xr:uid="{00000000-0005-0000-0000-0000C0010000}"/>
    <cellStyle name="Millares 4 3 3" xfId="452" xr:uid="{00000000-0005-0000-0000-0000C1010000}"/>
    <cellStyle name="Millares 4 4" xfId="453" xr:uid="{00000000-0005-0000-0000-0000C2010000}"/>
    <cellStyle name="Millares 4 4 2" xfId="454" xr:uid="{00000000-0005-0000-0000-0000C3010000}"/>
    <cellStyle name="Millares 4 5" xfId="455" xr:uid="{00000000-0005-0000-0000-0000C4010000}"/>
    <cellStyle name="Millares 4 6" xfId="456" xr:uid="{00000000-0005-0000-0000-0000C5010000}"/>
    <cellStyle name="Millares 4 7" xfId="457" xr:uid="{00000000-0005-0000-0000-0000C6010000}"/>
    <cellStyle name="Millares 5" xfId="458" xr:uid="{00000000-0005-0000-0000-0000C7010000}"/>
    <cellStyle name="Millares 5 2" xfId="459" xr:uid="{00000000-0005-0000-0000-0000C8010000}"/>
    <cellStyle name="Millares 5 2 2" xfId="460" xr:uid="{00000000-0005-0000-0000-0000C9010000}"/>
    <cellStyle name="Millares 5 3" xfId="461" xr:uid="{00000000-0005-0000-0000-0000CA010000}"/>
    <cellStyle name="Millares 5 4" xfId="462" xr:uid="{00000000-0005-0000-0000-0000CB010000}"/>
    <cellStyle name="Millares 6" xfId="463" xr:uid="{00000000-0005-0000-0000-0000CC010000}"/>
    <cellStyle name="Millares 6 2" xfId="464" xr:uid="{00000000-0005-0000-0000-0000CD010000}"/>
    <cellStyle name="Millares 6 2 2" xfId="465" xr:uid="{00000000-0005-0000-0000-0000CE010000}"/>
    <cellStyle name="Millares 6 3" xfId="466" xr:uid="{00000000-0005-0000-0000-0000CF010000}"/>
    <cellStyle name="Millares 7" xfId="467" xr:uid="{00000000-0005-0000-0000-0000D0010000}"/>
    <cellStyle name="Millares 7 2" xfId="468" xr:uid="{00000000-0005-0000-0000-0000D1010000}"/>
    <cellStyle name="Moneda" xfId="2" builtinId="4"/>
    <cellStyle name="Moneda 10" xfId="469" xr:uid="{00000000-0005-0000-0000-0000D3010000}"/>
    <cellStyle name="Moneda 10 2" xfId="470" xr:uid="{00000000-0005-0000-0000-0000D4010000}"/>
    <cellStyle name="Moneda 10 2 2" xfId="471" xr:uid="{00000000-0005-0000-0000-0000D5010000}"/>
    <cellStyle name="Moneda 10 2 2 2" xfId="472" xr:uid="{00000000-0005-0000-0000-0000D6010000}"/>
    <cellStyle name="Moneda 10 2 3" xfId="473" xr:uid="{00000000-0005-0000-0000-0000D7010000}"/>
    <cellStyle name="Moneda 10 3" xfId="474" xr:uid="{00000000-0005-0000-0000-0000D8010000}"/>
    <cellStyle name="Moneda 10 3 2" xfId="475" xr:uid="{00000000-0005-0000-0000-0000D9010000}"/>
    <cellStyle name="Moneda 10 3 2 2" xfId="476" xr:uid="{00000000-0005-0000-0000-0000DA010000}"/>
    <cellStyle name="Moneda 10 3 3" xfId="477" xr:uid="{00000000-0005-0000-0000-0000DB010000}"/>
    <cellStyle name="Moneda 10 4" xfId="478" xr:uid="{00000000-0005-0000-0000-0000DC010000}"/>
    <cellStyle name="Moneda 10 4 2" xfId="479" xr:uid="{00000000-0005-0000-0000-0000DD010000}"/>
    <cellStyle name="Moneda 10 4 2 2" xfId="480" xr:uid="{00000000-0005-0000-0000-0000DE010000}"/>
    <cellStyle name="Moneda 10 4 3" xfId="481" xr:uid="{00000000-0005-0000-0000-0000DF010000}"/>
    <cellStyle name="Moneda 10 5" xfId="482" xr:uid="{00000000-0005-0000-0000-0000E0010000}"/>
    <cellStyle name="Moneda 10 5 2" xfId="483" xr:uid="{00000000-0005-0000-0000-0000E1010000}"/>
    <cellStyle name="Moneda 10 6" xfId="484" xr:uid="{00000000-0005-0000-0000-0000E2010000}"/>
    <cellStyle name="Moneda 2" xfId="485" xr:uid="{00000000-0005-0000-0000-0000E3010000}"/>
    <cellStyle name="Moneda 2 10" xfId="486" xr:uid="{00000000-0005-0000-0000-0000E4010000}"/>
    <cellStyle name="Moneda 2 11" xfId="487" xr:uid="{00000000-0005-0000-0000-0000E5010000}"/>
    <cellStyle name="Moneda 2 12" xfId="488" xr:uid="{00000000-0005-0000-0000-0000E6010000}"/>
    <cellStyle name="Moneda 2 13" xfId="489" xr:uid="{00000000-0005-0000-0000-0000E7010000}"/>
    <cellStyle name="Moneda 2 14" xfId="490" xr:uid="{00000000-0005-0000-0000-0000E8010000}"/>
    <cellStyle name="Moneda 2 15" xfId="491" xr:uid="{00000000-0005-0000-0000-0000E9010000}"/>
    <cellStyle name="Moneda 2 16" xfId="492" xr:uid="{00000000-0005-0000-0000-0000EA010000}"/>
    <cellStyle name="Moneda 2 2" xfId="493" xr:uid="{00000000-0005-0000-0000-0000EB010000}"/>
    <cellStyle name="Moneda 2 2 10" xfId="494" xr:uid="{00000000-0005-0000-0000-0000EC010000}"/>
    <cellStyle name="Moneda 2 2 11" xfId="495" xr:uid="{00000000-0005-0000-0000-0000ED010000}"/>
    <cellStyle name="Moneda 2 2 12" xfId="496" xr:uid="{00000000-0005-0000-0000-0000EE010000}"/>
    <cellStyle name="Moneda 2 2 13" xfId="497" xr:uid="{00000000-0005-0000-0000-0000EF010000}"/>
    <cellStyle name="Moneda 2 2 14" xfId="498" xr:uid="{00000000-0005-0000-0000-0000F0010000}"/>
    <cellStyle name="Moneda 2 2 2" xfId="499" xr:uid="{00000000-0005-0000-0000-0000F1010000}"/>
    <cellStyle name="Moneda 2 2 2 2" xfId="500" xr:uid="{00000000-0005-0000-0000-0000F2010000}"/>
    <cellStyle name="Moneda 2 2 3" xfId="501" xr:uid="{00000000-0005-0000-0000-0000F3010000}"/>
    <cellStyle name="Moneda 2 2 4" xfId="502" xr:uid="{00000000-0005-0000-0000-0000F4010000}"/>
    <cellStyle name="Moneda 2 2 5" xfId="503" xr:uid="{00000000-0005-0000-0000-0000F5010000}"/>
    <cellStyle name="Moneda 2 2 6" xfId="504" xr:uid="{00000000-0005-0000-0000-0000F6010000}"/>
    <cellStyle name="Moneda 2 2 7" xfId="505" xr:uid="{00000000-0005-0000-0000-0000F7010000}"/>
    <cellStyle name="Moneda 2 2 8" xfId="506" xr:uid="{00000000-0005-0000-0000-0000F8010000}"/>
    <cellStyle name="Moneda 2 2 9" xfId="507" xr:uid="{00000000-0005-0000-0000-0000F9010000}"/>
    <cellStyle name="Moneda 2 3" xfId="508" xr:uid="{00000000-0005-0000-0000-0000FA010000}"/>
    <cellStyle name="Moneda 2 3 2" xfId="509" xr:uid="{00000000-0005-0000-0000-0000FB010000}"/>
    <cellStyle name="Moneda 2 3 3" xfId="510" xr:uid="{00000000-0005-0000-0000-0000FC010000}"/>
    <cellStyle name="Moneda 2 4" xfId="511" xr:uid="{00000000-0005-0000-0000-0000FD010000}"/>
    <cellStyle name="Moneda 2 5" xfId="512" xr:uid="{00000000-0005-0000-0000-0000FE010000}"/>
    <cellStyle name="Moneda 2 6" xfId="513" xr:uid="{00000000-0005-0000-0000-0000FF010000}"/>
    <cellStyle name="Moneda 2 7" xfId="514" xr:uid="{00000000-0005-0000-0000-000000020000}"/>
    <cellStyle name="Moneda 2 8" xfId="515" xr:uid="{00000000-0005-0000-0000-000001020000}"/>
    <cellStyle name="Moneda 2 9" xfId="516" xr:uid="{00000000-0005-0000-0000-000002020000}"/>
    <cellStyle name="Moneda 3" xfId="517" xr:uid="{00000000-0005-0000-0000-000003020000}"/>
    <cellStyle name="Moneda 3 2" xfId="518" xr:uid="{00000000-0005-0000-0000-000004020000}"/>
    <cellStyle name="Moneda 3 2 2" xfId="519" xr:uid="{00000000-0005-0000-0000-000005020000}"/>
    <cellStyle name="Moneda 3 3" xfId="520" xr:uid="{00000000-0005-0000-0000-000006020000}"/>
    <cellStyle name="Moneda 4" xfId="521" xr:uid="{00000000-0005-0000-0000-000007020000}"/>
    <cellStyle name="Moneda 4 2" xfId="522" xr:uid="{00000000-0005-0000-0000-000008020000}"/>
    <cellStyle name="Moneda 4 2 2" xfId="523" xr:uid="{00000000-0005-0000-0000-000009020000}"/>
    <cellStyle name="Moneda 4 3" xfId="524" xr:uid="{00000000-0005-0000-0000-00000A020000}"/>
    <cellStyle name="Moneda 4 3 2" xfId="525" xr:uid="{00000000-0005-0000-0000-00000B020000}"/>
    <cellStyle name="Moneda 4 4" xfId="526" xr:uid="{00000000-0005-0000-0000-00000C020000}"/>
    <cellStyle name="Moneda 5" xfId="527" xr:uid="{00000000-0005-0000-0000-00000D020000}"/>
    <cellStyle name="Moneda 5 2" xfId="528" xr:uid="{00000000-0005-0000-0000-00000E020000}"/>
    <cellStyle name="Moneda 5 3" xfId="529" xr:uid="{00000000-0005-0000-0000-00000F020000}"/>
    <cellStyle name="Moneda 6" xfId="530" xr:uid="{00000000-0005-0000-0000-000010020000}"/>
    <cellStyle name="Moneda 6 2" xfId="531" xr:uid="{00000000-0005-0000-0000-000011020000}"/>
    <cellStyle name="Moneda 6 2 2" xfId="532" xr:uid="{00000000-0005-0000-0000-000012020000}"/>
    <cellStyle name="Moneda 6 3" xfId="533" xr:uid="{00000000-0005-0000-0000-000013020000}"/>
    <cellStyle name="Moneda 6 3 2" xfId="534" xr:uid="{00000000-0005-0000-0000-000014020000}"/>
    <cellStyle name="Moneda 6 4" xfId="535" xr:uid="{00000000-0005-0000-0000-000015020000}"/>
    <cellStyle name="Moneda 7" xfId="536" xr:uid="{00000000-0005-0000-0000-000016020000}"/>
    <cellStyle name="Moneda 7 2" xfId="537" xr:uid="{00000000-0005-0000-0000-000017020000}"/>
    <cellStyle name="Moneda 7 3" xfId="538" xr:uid="{00000000-0005-0000-0000-000018020000}"/>
    <cellStyle name="Moneda 8" xfId="539" xr:uid="{00000000-0005-0000-0000-000019020000}"/>
    <cellStyle name="Moneda 8 2" xfId="540" xr:uid="{00000000-0005-0000-0000-00001A020000}"/>
    <cellStyle name="Neutral 2" xfId="541" xr:uid="{00000000-0005-0000-0000-00001B020000}"/>
    <cellStyle name="Normal" xfId="0" builtinId="0"/>
    <cellStyle name="Normal 10" xfId="542" xr:uid="{00000000-0005-0000-0000-00001D020000}"/>
    <cellStyle name="Normal 10 2" xfId="543" xr:uid="{00000000-0005-0000-0000-00001E020000}"/>
    <cellStyle name="Normal 10 3" xfId="544" xr:uid="{00000000-0005-0000-0000-00001F020000}"/>
    <cellStyle name="Normal 11" xfId="545" xr:uid="{00000000-0005-0000-0000-000020020000}"/>
    <cellStyle name="Normal 11 2" xfId="546" xr:uid="{00000000-0005-0000-0000-000021020000}"/>
    <cellStyle name="Normal 11 2 2" xfId="547" xr:uid="{00000000-0005-0000-0000-000022020000}"/>
    <cellStyle name="Normal 11 2 3" xfId="548" xr:uid="{00000000-0005-0000-0000-000023020000}"/>
    <cellStyle name="Normal 11 3" xfId="549" xr:uid="{00000000-0005-0000-0000-000024020000}"/>
    <cellStyle name="Normal 12" xfId="550" xr:uid="{00000000-0005-0000-0000-000025020000}"/>
    <cellStyle name="Normal 12 2" xfId="551" xr:uid="{00000000-0005-0000-0000-000026020000}"/>
    <cellStyle name="Normal 13" xfId="552" xr:uid="{00000000-0005-0000-0000-000027020000}"/>
    <cellStyle name="Normal 14" xfId="553" xr:uid="{00000000-0005-0000-0000-000028020000}"/>
    <cellStyle name="Normal 14 2" xfId="554" xr:uid="{00000000-0005-0000-0000-000029020000}"/>
    <cellStyle name="Normal 15" xfId="555" xr:uid="{00000000-0005-0000-0000-00002A020000}"/>
    <cellStyle name="Normal 16" xfId="556" xr:uid="{00000000-0005-0000-0000-00002B020000}"/>
    <cellStyle name="Normal 17" xfId="557" xr:uid="{00000000-0005-0000-0000-00002C020000}"/>
    <cellStyle name="Normal 18" xfId="558" xr:uid="{00000000-0005-0000-0000-00002D020000}"/>
    <cellStyle name="Normal 19" xfId="559" xr:uid="{00000000-0005-0000-0000-00002E020000}"/>
    <cellStyle name="Normal 2" xfId="560" xr:uid="{00000000-0005-0000-0000-00002F020000}"/>
    <cellStyle name="Normal 2 10" xfId="561" xr:uid="{00000000-0005-0000-0000-000030020000}"/>
    <cellStyle name="Normal 2 10 2" xfId="562" xr:uid="{00000000-0005-0000-0000-000031020000}"/>
    <cellStyle name="Normal 2 10 3" xfId="563" xr:uid="{00000000-0005-0000-0000-000032020000}"/>
    <cellStyle name="Normal 2 11" xfId="564" xr:uid="{00000000-0005-0000-0000-000033020000}"/>
    <cellStyle name="Normal 2 12" xfId="565" xr:uid="{00000000-0005-0000-0000-000034020000}"/>
    <cellStyle name="Normal 2 13" xfId="566" xr:uid="{00000000-0005-0000-0000-000035020000}"/>
    <cellStyle name="Normal 2 14" xfId="567" xr:uid="{00000000-0005-0000-0000-000036020000}"/>
    <cellStyle name="Normal 2 15" xfId="568" xr:uid="{00000000-0005-0000-0000-000037020000}"/>
    <cellStyle name="Normal 2 16" xfId="569" xr:uid="{00000000-0005-0000-0000-000038020000}"/>
    <cellStyle name="Normal 2 2" xfId="570" xr:uid="{00000000-0005-0000-0000-000039020000}"/>
    <cellStyle name="Normal 2 2 2" xfId="571" xr:uid="{00000000-0005-0000-0000-00003A020000}"/>
    <cellStyle name="Normal 2 2 2 2" xfId="572" xr:uid="{00000000-0005-0000-0000-00003B020000}"/>
    <cellStyle name="Normal 2 2 2 2 2" xfId="573" xr:uid="{00000000-0005-0000-0000-00003C020000}"/>
    <cellStyle name="Normal 2 2 2 2 2 2" xfId="574" xr:uid="{00000000-0005-0000-0000-00003D020000}"/>
    <cellStyle name="Normal 2 2 2 2 3" xfId="575" xr:uid="{00000000-0005-0000-0000-00003E020000}"/>
    <cellStyle name="Normal 2 2 2 3" xfId="576" xr:uid="{00000000-0005-0000-0000-00003F020000}"/>
    <cellStyle name="Normal 2 2 2 3 2" xfId="577" xr:uid="{00000000-0005-0000-0000-000040020000}"/>
    <cellStyle name="Normal 2 2 2 3 2 2" xfId="578" xr:uid="{00000000-0005-0000-0000-000041020000}"/>
    <cellStyle name="Normal 2 2 2 4" xfId="579" xr:uid="{00000000-0005-0000-0000-000042020000}"/>
    <cellStyle name="Normal 2 2 2 5" xfId="580" xr:uid="{00000000-0005-0000-0000-000043020000}"/>
    <cellStyle name="Normal 2 2 3" xfId="581" xr:uid="{00000000-0005-0000-0000-000044020000}"/>
    <cellStyle name="Normal 2 3" xfId="582" xr:uid="{00000000-0005-0000-0000-000045020000}"/>
    <cellStyle name="Normal 2 3 2" xfId="583" xr:uid="{00000000-0005-0000-0000-000046020000}"/>
    <cellStyle name="Normal 2 3 2 2" xfId="584" xr:uid="{00000000-0005-0000-0000-000047020000}"/>
    <cellStyle name="Normal 2 3 2 2 2" xfId="585" xr:uid="{00000000-0005-0000-0000-000048020000}"/>
    <cellStyle name="Normal 2 3 2 3" xfId="586" xr:uid="{00000000-0005-0000-0000-000049020000}"/>
    <cellStyle name="Normal 2 3 3" xfId="587" xr:uid="{00000000-0005-0000-0000-00004A020000}"/>
    <cellStyle name="Normal 2 3 3 2" xfId="588" xr:uid="{00000000-0005-0000-0000-00004B020000}"/>
    <cellStyle name="Normal 2 3 3 2 2" xfId="589" xr:uid="{00000000-0005-0000-0000-00004C020000}"/>
    <cellStyle name="Normal 2 3 3 3" xfId="590" xr:uid="{00000000-0005-0000-0000-00004D020000}"/>
    <cellStyle name="Normal 2 3 4" xfId="591" xr:uid="{00000000-0005-0000-0000-00004E020000}"/>
    <cellStyle name="Normal 2 3 4 2" xfId="592" xr:uid="{00000000-0005-0000-0000-00004F020000}"/>
    <cellStyle name="Normal 2 3 5" xfId="593" xr:uid="{00000000-0005-0000-0000-000050020000}"/>
    <cellStyle name="Normal 2 3 6" xfId="594" xr:uid="{00000000-0005-0000-0000-000051020000}"/>
    <cellStyle name="Normal 2 4" xfId="595" xr:uid="{00000000-0005-0000-0000-000052020000}"/>
    <cellStyle name="Normal 2 4 2" xfId="596" xr:uid="{00000000-0005-0000-0000-000053020000}"/>
    <cellStyle name="Normal 2 4 2 2" xfId="597" xr:uid="{00000000-0005-0000-0000-000054020000}"/>
    <cellStyle name="Normal 2 4 2 3" xfId="598" xr:uid="{00000000-0005-0000-0000-000055020000}"/>
    <cellStyle name="Normal 2 4 3" xfId="599" xr:uid="{00000000-0005-0000-0000-000056020000}"/>
    <cellStyle name="Normal 2 4 4" xfId="600" xr:uid="{00000000-0005-0000-0000-000057020000}"/>
    <cellStyle name="Normal 2 5" xfId="601" xr:uid="{00000000-0005-0000-0000-000058020000}"/>
    <cellStyle name="Normal 2 5 2" xfId="602" xr:uid="{00000000-0005-0000-0000-000059020000}"/>
    <cellStyle name="Normal 2 5 2 2" xfId="603" xr:uid="{00000000-0005-0000-0000-00005A020000}"/>
    <cellStyle name="Normal 2 6" xfId="604" xr:uid="{00000000-0005-0000-0000-00005B020000}"/>
    <cellStyle name="Normal 2 6 2" xfId="605" xr:uid="{00000000-0005-0000-0000-00005C020000}"/>
    <cellStyle name="Normal 2 7" xfId="606" xr:uid="{00000000-0005-0000-0000-00005D020000}"/>
    <cellStyle name="Normal 2 8" xfId="607" xr:uid="{00000000-0005-0000-0000-00005E020000}"/>
    <cellStyle name="Normal 2 9" xfId="608" xr:uid="{00000000-0005-0000-0000-00005F020000}"/>
    <cellStyle name="Normal 2_Contratos 2009" xfId="609" xr:uid="{00000000-0005-0000-0000-000060020000}"/>
    <cellStyle name="Normal 20" xfId="610" xr:uid="{00000000-0005-0000-0000-000061020000}"/>
    <cellStyle name="Normal 21" xfId="611" xr:uid="{00000000-0005-0000-0000-000062020000}"/>
    <cellStyle name="Normal 22" xfId="612" xr:uid="{00000000-0005-0000-0000-000063020000}"/>
    <cellStyle name="Normal 23" xfId="613" xr:uid="{00000000-0005-0000-0000-000064020000}"/>
    <cellStyle name="Normal 24" xfId="614" xr:uid="{00000000-0005-0000-0000-000065020000}"/>
    <cellStyle name="Normal 25" xfId="615" xr:uid="{00000000-0005-0000-0000-000066020000}"/>
    <cellStyle name="Normal 251" xfId="616" xr:uid="{00000000-0005-0000-0000-000067020000}"/>
    <cellStyle name="Normal 252" xfId="617" xr:uid="{00000000-0005-0000-0000-000068020000}"/>
    <cellStyle name="Normal 252 2" xfId="618" xr:uid="{00000000-0005-0000-0000-000069020000}"/>
    <cellStyle name="Normal 253" xfId="619" xr:uid="{00000000-0005-0000-0000-00006A020000}"/>
    <cellStyle name="Normal 253 2" xfId="620" xr:uid="{00000000-0005-0000-0000-00006B020000}"/>
    <cellStyle name="Normal 253 2 2" xfId="621" xr:uid="{00000000-0005-0000-0000-00006C020000}"/>
    <cellStyle name="Normal 253 3" xfId="622" xr:uid="{00000000-0005-0000-0000-00006D020000}"/>
    <cellStyle name="Normal 254" xfId="623" xr:uid="{00000000-0005-0000-0000-00006E020000}"/>
    <cellStyle name="Normal 255" xfId="624" xr:uid="{00000000-0005-0000-0000-00006F020000}"/>
    <cellStyle name="Normal 255 2" xfId="625" xr:uid="{00000000-0005-0000-0000-000070020000}"/>
    <cellStyle name="Normal 255 2 2" xfId="626" xr:uid="{00000000-0005-0000-0000-000071020000}"/>
    <cellStyle name="Normal 256" xfId="627" xr:uid="{00000000-0005-0000-0000-000072020000}"/>
    <cellStyle name="Normal 257" xfId="628" xr:uid="{00000000-0005-0000-0000-000073020000}"/>
    <cellStyle name="Normal 257 2" xfId="629" xr:uid="{00000000-0005-0000-0000-000074020000}"/>
    <cellStyle name="Normal 257 2 2" xfId="630" xr:uid="{00000000-0005-0000-0000-000075020000}"/>
    <cellStyle name="Normal 26" xfId="631" xr:uid="{00000000-0005-0000-0000-000076020000}"/>
    <cellStyle name="Normal 27" xfId="632" xr:uid="{00000000-0005-0000-0000-000077020000}"/>
    <cellStyle name="Normal 27 10" xfId="633" xr:uid="{00000000-0005-0000-0000-000078020000}"/>
    <cellStyle name="Normal 27 11" xfId="634" xr:uid="{00000000-0005-0000-0000-000079020000}"/>
    <cellStyle name="Normal 27 12" xfId="635" xr:uid="{00000000-0005-0000-0000-00007A020000}"/>
    <cellStyle name="Normal 27 13" xfId="636" xr:uid="{00000000-0005-0000-0000-00007B020000}"/>
    <cellStyle name="Normal 27 14" xfId="637" xr:uid="{00000000-0005-0000-0000-00007C020000}"/>
    <cellStyle name="Normal 27 2" xfId="638" xr:uid="{00000000-0005-0000-0000-00007D020000}"/>
    <cellStyle name="Normal 27 3" xfId="639" xr:uid="{00000000-0005-0000-0000-00007E020000}"/>
    <cellStyle name="Normal 27 4" xfId="640" xr:uid="{00000000-0005-0000-0000-00007F020000}"/>
    <cellStyle name="Normal 27 5" xfId="641" xr:uid="{00000000-0005-0000-0000-000080020000}"/>
    <cellStyle name="Normal 27 6" xfId="642" xr:uid="{00000000-0005-0000-0000-000081020000}"/>
    <cellStyle name="Normal 27 7" xfId="643" xr:uid="{00000000-0005-0000-0000-000082020000}"/>
    <cellStyle name="Normal 27 8" xfId="644" xr:uid="{00000000-0005-0000-0000-000083020000}"/>
    <cellStyle name="Normal 27 9" xfId="645" xr:uid="{00000000-0005-0000-0000-000084020000}"/>
    <cellStyle name="Normal 28" xfId="646" xr:uid="{00000000-0005-0000-0000-000085020000}"/>
    <cellStyle name="Normal 29" xfId="647" xr:uid="{00000000-0005-0000-0000-000086020000}"/>
    <cellStyle name="Normal 3" xfId="648" xr:uid="{00000000-0005-0000-0000-000087020000}"/>
    <cellStyle name="Normal 3 10" xfId="649" xr:uid="{00000000-0005-0000-0000-000088020000}"/>
    <cellStyle name="Normal 3 10 2" xfId="650" xr:uid="{00000000-0005-0000-0000-000089020000}"/>
    <cellStyle name="Normal 3 100" xfId="651" xr:uid="{00000000-0005-0000-0000-00008A020000}"/>
    <cellStyle name="Normal 3 100 2" xfId="652" xr:uid="{00000000-0005-0000-0000-00008B020000}"/>
    <cellStyle name="Normal 3 101" xfId="653" xr:uid="{00000000-0005-0000-0000-00008C020000}"/>
    <cellStyle name="Normal 3 101 2" xfId="654" xr:uid="{00000000-0005-0000-0000-00008D020000}"/>
    <cellStyle name="Normal 3 102" xfId="655" xr:uid="{00000000-0005-0000-0000-00008E020000}"/>
    <cellStyle name="Normal 3 102 2" xfId="656" xr:uid="{00000000-0005-0000-0000-00008F020000}"/>
    <cellStyle name="Normal 3 103" xfId="657" xr:uid="{00000000-0005-0000-0000-000090020000}"/>
    <cellStyle name="Normal 3 103 2" xfId="658" xr:uid="{00000000-0005-0000-0000-000091020000}"/>
    <cellStyle name="Normal 3 104" xfId="659" xr:uid="{00000000-0005-0000-0000-000092020000}"/>
    <cellStyle name="Normal 3 104 2" xfId="660" xr:uid="{00000000-0005-0000-0000-000093020000}"/>
    <cellStyle name="Normal 3 105" xfId="661" xr:uid="{00000000-0005-0000-0000-000094020000}"/>
    <cellStyle name="Normal 3 105 2" xfId="662" xr:uid="{00000000-0005-0000-0000-000095020000}"/>
    <cellStyle name="Normal 3 106" xfId="663" xr:uid="{00000000-0005-0000-0000-000096020000}"/>
    <cellStyle name="Normal 3 106 2" xfId="664" xr:uid="{00000000-0005-0000-0000-000097020000}"/>
    <cellStyle name="Normal 3 107" xfId="665" xr:uid="{00000000-0005-0000-0000-000098020000}"/>
    <cellStyle name="Normal 3 107 2" xfId="666" xr:uid="{00000000-0005-0000-0000-000099020000}"/>
    <cellStyle name="Normal 3 108" xfId="667" xr:uid="{00000000-0005-0000-0000-00009A020000}"/>
    <cellStyle name="Normal 3 108 2" xfId="668" xr:uid="{00000000-0005-0000-0000-00009B020000}"/>
    <cellStyle name="Normal 3 109" xfId="669" xr:uid="{00000000-0005-0000-0000-00009C020000}"/>
    <cellStyle name="Normal 3 109 2" xfId="670" xr:uid="{00000000-0005-0000-0000-00009D020000}"/>
    <cellStyle name="Normal 3 11" xfId="671" xr:uid="{00000000-0005-0000-0000-00009E020000}"/>
    <cellStyle name="Normal 3 11 2" xfId="672" xr:uid="{00000000-0005-0000-0000-00009F020000}"/>
    <cellStyle name="Normal 3 110" xfId="673" xr:uid="{00000000-0005-0000-0000-0000A0020000}"/>
    <cellStyle name="Normal 3 110 2" xfId="674" xr:uid="{00000000-0005-0000-0000-0000A1020000}"/>
    <cellStyle name="Normal 3 111" xfId="675" xr:uid="{00000000-0005-0000-0000-0000A2020000}"/>
    <cellStyle name="Normal 3 111 2" xfId="676" xr:uid="{00000000-0005-0000-0000-0000A3020000}"/>
    <cellStyle name="Normal 3 112" xfId="677" xr:uid="{00000000-0005-0000-0000-0000A4020000}"/>
    <cellStyle name="Normal 3 112 2" xfId="678" xr:uid="{00000000-0005-0000-0000-0000A5020000}"/>
    <cellStyle name="Normal 3 113" xfId="679" xr:uid="{00000000-0005-0000-0000-0000A6020000}"/>
    <cellStyle name="Normal 3 113 2" xfId="680" xr:uid="{00000000-0005-0000-0000-0000A7020000}"/>
    <cellStyle name="Normal 3 114" xfId="681" xr:uid="{00000000-0005-0000-0000-0000A8020000}"/>
    <cellStyle name="Normal 3 114 2" xfId="682" xr:uid="{00000000-0005-0000-0000-0000A9020000}"/>
    <cellStyle name="Normal 3 115" xfId="683" xr:uid="{00000000-0005-0000-0000-0000AA020000}"/>
    <cellStyle name="Normal 3 115 2" xfId="684" xr:uid="{00000000-0005-0000-0000-0000AB020000}"/>
    <cellStyle name="Normal 3 116" xfId="685" xr:uid="{00000000-0005-0000-0000-0000AC020000}"/>
    <cellStyle name="Normal 3 116 2" xfId="686" xr:uid="{00000000-0005-0000-0000-0000AD020000}"/>
    <cellStyle name="Normal 3 117" xfId="687" xr:uid="{00000000-0005-0000-0000-0000AE020000}"/>
    <cellStyle name="Normal 3 117 2" xfId="688" xr:uid="{00000000-0005-0000-0000-0000AF020000}"/>
    <cellStyle name="Normal 3 118" xfId="689" xr:uid="{00000000-0005-0000-0000-0000B0020000}"/>
    <cellStyle name="Normal 3 118 2" xfId="690" xr:uid="{00000000-0005-0000-0000-0000B1020000}"/>
    <cellStyle name="Normal 3 119" xfId="691" xr:uid="{00000000-0005-0000-0000-0000B2020000}"/>
    <cellStyle name="Normal 3 119 2" xfId="692" xr:uid="{00000000-0005-0000-0000-0000B3020000}"/>
    <cellStyle name="Normal 3 12" xfId="693" xr:uid="{00000000-0005-0000-0000-0000B4020000}"/>
    <cellStyle name="Normal 3 12 2" xfId="694" xr:uid="{00000000-0005-0000-0000-0000B5020000}"/>
    <cellStyle name="Normal 3 120" xfId="695" xr:uid="{00000000-0005-0000-0000-0000B6020000}"/>
    <cellStyle name="Normal 3 120 2" xfId="696" xr:uid="{00000000-0005-0000-0000-0000B7020000}"/>
    <cellStyle name="Normal 3 121" xfId="697" xr:uid="{00000000-0005-0000-0000-0000B8020000}"/>
    <cellStyle name="Normal 3 121 2" xfId="698" xr:uid="{00000000-0005-0000-0000-0000B9020000}"/>
    <cellStyle name="Normal 3 122" xfId="699" xr:uid="{00000000-0005-0000-0000-0000BA020000}"/>
    <cellStyle name="Normal 3 122 2" xfId="700" xr:uid="{00000000-0005-0000-0000-0000BB020000}"/>
    <cellStyle name="Normal 3 123" xfId="701" xr:uid="{00000000-0005-0000-0000-0000BC020000}"/>
    <cellStyle name="Normal 3 123 2" xfId="702" xr:uid="{00000000-0005-0000-0000-0000BD020000}"/>
    <cellStyle name="Normal 3 124" xfId="703" xr:uid="{00000000-0005-0000-0000-0000BE020000}"/>
    <cellStyle name="Normal 3 124 2" xfId="704" xr:uid="{00000000-0005-0000-0000-0000BF020000}"/>
    <cellStyle name="Normal 3 125" xfId="705" xr:uid="{00000000-0005-0000-0000-0000C0020000}"/>
    <cellStyle name="Normal 3 125 2" xfId="706" xr:uid="{00000000-0005-0000-0000-0000C1020000}"/>
    <cellStyle name="Normal 3 126" xfId="707" xr:uid="{00000000-0005-0000-0000-0000C2020000}"/>
    <cellStyle name="Normal 3 126 2" xfId="708" xr:uid="{00000000-0005-0000-0000-0000C3020000}"/>
    <cellStyle name="Normal 3 127" xfId="709" xr:uid="{00000000-0005-0000-0000-0000C4020000}"/>
    <cellStyle name="Normal 3 127 2" xfId="710" xr:uid="{00000000-0005-0000-0000-0000C5020000}"/>
    <cellStyle name="Normal 3 128" xfId="711" xr:uid="{00000000-0005-0000-0000-0000C6020000}"/>
    <cellStyle name="Normal 3 128 2" xfId="712" xr:uid="{00000000-0005-0000-0000-0000C7020000}"/>
    <cellStyle name="Normal 3 129" xfId="713" xr:uid="{00000000-0005-0000-0000-0000C8020000}"/>
    <cellStyle name="Normal 3 129 2" xfId="714" xr:uid="{00000000-0005-0000-0000-0000C9020000}"/>
    <cellStyle name="Normal 3 13" xfId="715" xr:uid="{00000000-0005-0000-0000-0000CA020000}"/>
    <cellStyle name="Normal 3 13 2" xfId="716" xr:uid="{00000000-0005-0000-0000-0000CB020000}"/>
    <cellStyle name="Normal 3 130" xfId="717" xr:uid="{00000000-0005-0000-0000-0000CC020000}"/>
    <cellStyle name="Normal 3 130 2" xfId="718" xr:uid="{00000000-0005-0000-0000-0000CD020000}"/>
    <cellStyle name="Normal 3 131" xfId="719" xr:uid="{00000000-0005-0000-0000-0000CE020000}"/>
    <cellStyle name="Normal 3 131 2" xfId="720" xr:uid="{00000000-0005-0000-0000-0000CF020000}"/>
    <cellStyle name="Normal 3 132" xfId="721" xr:uid="{00000000-0005-0000-0000-0000D0020000}"/>
    <cellStyle name="Normal 3 132 2" xfId="722" xr:uid="{00000000-0005-0000-0000-0000D1020000}"/>
    <cellStyle name="Normal 3 133" xfId="723" xr:uid="{00000000-0005-0000-0000-0000D2020000}"/>
    <cellStyle name="Normal 3 133 2" xfId="724" xr:uid="{00000000-0005-0000-0000-0000D3020000}"/>
    <cellStyle name="Normal 3 134" xfId="725" xr:uid="{00000000-0005-0000-0000-0000D4020000}"/>
    <cellStyle name="Normal 3 134 2" xfId="726" xr:uid="{00000000-0005-0000-0000-0000D5020000}"/>
    <cellStyle name="Normal 3 135" xfId="727" xr:uid="{00000000-0005-0000-0000-0000D6020000}"/>
    <cellStyle name="Normal 3 135 2" xfId="728" xr:uid="{00000000-0005-0000-0000-0000D7020000}"/>
    <cellStyle name="Normal 3 136" xfId="729" xr:uid="{00000000-0005-0000-0000-0000D8020000}"/>
    <cellStyle name="Normal 3 136 2" xfId="730" xr:uid="{00000000-0005-0000-0000-0000D9020000}"/>
    <cellStyle name="Normal 3 137" xfId="731" xr:uid="{00000000-0005-0000-0000-0000DA020000}"/>
    <cellStyle name="Normal 3 137 2" xfId="732" xr:uid="{00000000-0005-0000-0000-0000DB020000}"/>
    <cellStyle name="Normal 3 138" xfId="733" xr:uid="{00000000-0005-0000-0000-0000DC020000}"/>
    <cellStyle name="Normal 3 138 2" xfId="734" xr:uid="{00000000-0005-0000-0000-0000DD020000}"/>
    <cellStyle name="Normal 3 139" xfId="735" xr:uid="{00000000-0005-0000-0000-0000DE020000}"/>
    <cellStyle name="Normal 3 139 2" xfId="736" xr:uid="{00000000-0005-0000-0000-0000DF020000}"/>
    <cellStyle name="Normal 3 14" xfId="737" xr:uid="{00000000-0005-0000-0000-0000E0020000}"/>
    <cellStyle name="Normal 3 14 2" xfId="738" xr:uid="{00000000-0005-0000-0000-0000E1020000}"/>
    <cellStyle name="Normal 3 140" xfId="739" xr:uid="{00000000-0005-0000-0000-0000E2020000}"/>
    <cellStyle name="Normal 3 140 2" xfId="740" xr:uid="{00000000-0005-0000-0000-0000E3020000}"/>
    <cellStyle name="Normal 3 141" xfId="741" xr:uid="{00000000-0005-0000-0000-0000E4020000}"/>
    <cellStyle name="Normal 3 141 2" xfId="742" xr:uid="{00000000-0005-0000-0000-0000E5020000}"/>
    <cellStyle name="Normal 3 142" xfId="743" xr:uid="{00000000-0005-0000-0000-0000E6020000}"/>
    <cellStyle name="Normal 3 142 2" xfId="744" xr:uid="{00000000-0005-0000-0000-0000E7020000}"/>
    <cellStyle name="Normal 3 143" xfId="745" xr:uid="{00000000-0005-0000-0000-0000E8020000}"/>
    <cellStyle name="Normal 3 143 2" xfId="746" xr:uid="{00000000-0005-0000-0000-0000E9020000}"/>
    <cellStyle name="Normal 3 144" xfId="747" xr:uid="{00000000-0005-0000-0000-0000EA020000}"/>
    <cellStyle name="Normal 3 144 2" xfId="748" xr:uid="{00000000-0005-0000-0000-0000EB020000}"/>
    <cellStyle name="Normal 3 145" xfId="749" xr:uid="{00000000-0005-0000-0000-0000EC020000}"/>
    <cellStyle name="Normal 3 145 2" xfId="750" xr:uid="{00000000-0005-0000-0000-0000ED020000}"/>
    <cellStyle name="Normal 3 146" xfId="751" xr:uid="{00000000-0005-0000-0000-0000EE020000}"/>
    <cellStyle name="Normal 3 146 2" xfId="752" xr:uid="{00000000-0005-0000-0000-0000EF020000}"/>
    <cellStyle name="Normal 3 147" xfId="753" xr:uid="{00000000-0005-0000-0000-0000F0020000}"/>
    <cellStyle name="Normal 3 147 2" xfId="754" xr:uid="{00000000-0005-0000-0000-0000F1020000}"/>
    <cellStyle name="Normal 3 148" xfId="755" xr:uid="{00000000-0005-0000-0000-0000F2020000}"/>
    <cellStyle name="Normal 3 148 2" xfId="756" xr:uid="{00000000-0005-0000-0000-0000F3020000}"/>
    <cellStyle name="Normal 3 149" xfId="757" xr:uid="{00000000-0005-0000-0000-0000F4020000}"/>
    <cellStyle name="Normal 3 149 2" xfId="758" xr:uid="{00000000-0005-0000-0000-0000F5020000}"/>
    <cellStyle name="Normal 3 15" xfId="759" xr:uid="{00000000-0005-0000-0000-0000F6020000}"/>
    <cellStyle name="Normal 3 15 2" xfId="760" xr:uid="{00000000-0005-0000-0000-0000F7020000}"/>
    <cellStyle name="Normal 3 150" xfId="761" xr:uid="{00000000-0005-0000-0000-0000F8020000}"/>
    <cellStyle name="Normal 3 150 2" xfId="762" xr:uid="{00000000-0005-0000-0000-0000F9020000}"/>
    <cellStyle name="Normal 3 151" xfId="763" xr:uid="{00000000-0005-0000-0000-0000FA020000}"/>
    <cellStyle name="Normal 3 151 2" xfId="764" xr:uid="{00000000-0005-0000-0000-0000FB020000}"/>
    <cellStyle name="Normal 3 152" xfId="765" xr:uid="{00000000-0005-0000-0000-0000FC020000}"/>
    <cellStyle name="Normal 3 152 2" xfId="766" xr:uid="{00000000-0005-0000-0000-0000FD020000}"/>
    <cellStyle name="Normal 3 153" xfId="767" xr:uid="{00000000-0005-0000-0000-0000FE020000}"/>
    <cellStyle name="Normal 3 153 2" xfId="768" xr:uid="{00000000-0005-0000-0000-0000FF020000}"/>
    <cellStyle name="Normal 3 154" xfId="769" xr:uid="{00000000-0005-0000-0000-000000030000}"/>
    <cellStyle name="Normal 3 154 2" xfId="770" xr:uid="{00000000-0005-0000-0000-000001030000}"/>
    <cellStyle name="Normal 3 155" xfId="771" xr:uid="{00000000-0005-0000-0000-000002030000}"/>
    <cellStyle name="Normal 3 155 2" xfId="772" xr:uid="{00000000-0005-0000-0000-000003030000}"/>
    <cellStyle name="Normal 3 156" xfId="773" xr:uid="{00000000-0005-0000-0000-000004030000}"/>
    <cellStyle name="Normal 3 156 2" xfId="774" xr:uid="{00000000-0005-0000-0000-000005030000}"/>
    <cellStyle name="Normal 3 157" xfId="775" xr:uid="{00000000-0005-0000-0000-000006030000}"/>
    <cellStyle name="Normal 3 157 2" xfId="776" xr:uid="{00000000-0005-0000-0000-000007030000}"/>
    <cellStyle name="Normal 3 158" xfId="777" xr:uid="{00000000-0005-0000-0000-000008030000}"/>
    <cellStyle name="Normal 3 158 2" xfId="778" xr:uid="{00000000-0005-0000-0000-000009030000}"/>
    <cellStyle name="Normal 3 159" xfId="779" xr:uid="{00000000-0005-0000-0000-00000A030000}"/>
    <cellStyle name="Normal 3 159 2" xfId="780" xr:uid="{00000000-0005-0000-0000-00000B030000}"/>
    <cellStyle name="Normal 3 16" xfId="781" xr:uid="{00000000-0005-0000-0000-00000C030000}"/>
    <cellStyle name="Normal 3 16 2" xfId="782" xr:uid="{00000000-0005-0000-0000-00000D030000}"/>
    <cellStyle name="Normal 3 160" xfId="783" xr:uid="{00000000-0005-0000-0000-00000E030000}"/>
    <cellStyle name="Normal 3 160 2" xfId="784" xr:uid="{00000000-0005-0000-0000-00000F030000}"/>
    <cellStyle name="Normal 3 161" xfId="785" xr:uid="{00000000-0005-0000-0000-000010030000}"/>
    <cellStyle name="Normal 3 161 2" xfId="786" xr:uid="{00000000-0005-0000-0000-000011030000}"/>
    <cellStyle name="Normal 3 162" xfId="787" xr:uid="{00000000-0005-0000-0000-000012030000}"/>
    <cellStyle name="Normal 3 162 2" xfId="788" xr:uid="{00000000-0005-0000-0000-000013030000}"/>
    <cellStyle name="Normal 3 163" xfId="789" xr:uid="{00000000-0005-0000-0000-000014030000}"/>
    <cellStyle name="Normal 3 163 2" xfId="790" xr:uid="{00000000-0005-0000-0000-000015030000}"/>
    <cellStyle name="Normal 3 164" xfId="791" xr:uid="{00000000-0005-0000-0000-000016030000}"/>
    <cellStyle name="Normal 3 164 2" xfId="792" xr:uid="{00000000-0005-0000-0000-000017030000}"/>
    <cellStyle name="Normal 3 165" xfId="793" xr:uid="{00000000-0005-0000-0000-000018030000}"/>
    <cellStyle name="Normal 3 165 2" xfId="794" xr:uid="{00000000-0005-0000-0000-000019030000}"/>
    <cellStyle name="Normal 3 166" xfId="795" xr:uid="{00000000-0005-0000-0000-00001A030000}"/>
    <cellStyle name="Normal 3 166 2" xfId="796" xr:uid="{00000000-0005-0000-0000-00001B030000}"/>
    <cellStyle name="Normal 3 167" xfId="797" xr:uid="{00000000-0005-0000-0000-00001C030000}"/>
    <cellStyle name="Normal 3 167 2" xfId="798" xr:uid="{00000000-0005-0000-0000-00001D030000}"/>
    <cellStyle name="Normal 3 168" xfId="799" xr:uid="{00000000-0005-0000-0000-00001E030000}"/>
    <cellStyle name="Normal 3 168 2" xfId="800" xr:uid="{00000000-0005-0000-0000-00001F030000}"/>
    <cellStyle name="Normal 3 169" xfId="801" xr:uid="{00000000-0005-0000-0000-000020030000}"/>
    <cellStyle name="Normal 3 169 2" xfId="802" xr:uid="{00000000-0005-0000-0000-000021030000}"/>
    <cellStyle name="Normal 3 17" xfId="803" xr:uid="{00000000-0005-0000-0000-000022030000}"/>
    <cellStyle name="Normal 3 17 2" xfId="804" xr:uid="{00000000-0005-0000-0000-000023030000}"/>
    <cellStyle name="Normal 3 170" xfId="805" xr:uid="{00000000-0005-0000-0000-000024030000}"/>
    <cellStyle name="Normal 3 170 2" xfId="806" xr:uid="{00000000-0005-0000-0000-000025030000}"/>
    <cellStyle name="Normal 3 171" xfId="807" xr:uid="{00000000-0005-0000-0000-000026030000}"/>
    <cellStyle name="Normal 3 171 2" xfId="808" xr:uid="{00000000-0005-0000-0000-000027030000}"/>
    <cellStyle name="Normal 3 172" xfId="809" xr:uid="{00000000-0005-0000-0000-000028030000}"/>
    <cellStyle name="Normal 3 172 2" xfId="810" xr:uid="{00000000-0005-0000-0000-000029030000}"/>
    <cellStyle name="Normal 3 173" xfId="811" xr:uid="{00000000-0005-0000-0000-00002A030000}"/>
    <cellStyle name="Normal 3 173 2" xfId="812" xr:uid="{00000000-0005-0000-0000-00002B030000}"/>
    <cellStyle name="Normal 3 174" xfId="813" xr:uid="{00000000-0005-0000-0000-00002C030000}"/>
    <cellStyle name="Normal 3 174 2" xfId="814" xr:uid="{00000000-0005-0000-0000-00002D030000}"/>
    <cellStyle name="Normal 3 175" xfId="815" xr:uid="{00000000-0005-0000-0000-00002E030000}"/>
    <cellStyle name="Normal 3 175 2" xfId="816" xr:uid="{00000000-0005-0000-0000-00002F030000}"/>
    <cellStyle name="Normal 3 176" xfId="817" xr:uid="{00000000-0005-0000-0000-000030030000}"/>
    <cellStyle name="Normal 3 176 2" xfId="818" xr:uid="{00000000-0005-0000-0000-000031030000}"/>
    <cellStyle name="Normal 3 177" xfId="819" xr:uid="{00000000-0005-0000-0000-000032030000}"/>
    <cellStyle name="Normal 3 177 2" xfId="820" xr:uid="{00000000-0005-0000-0000-000033030000}"/>
    <cellStyle name="Normal 3 178" xfId="821" xr:uid="{00000000-0005-0000-0000-000034030000}"/>
    <cellStyle name="Normal 3 178 2" xfId="822" xr:uid="{00000000-0005-0000-0000-000035030000}"/>
    <cellStyle name="Normal 3 179" xfId="823" xr:uid="{00000000-0005-0000-0000-000036030000}"/>
    <cellStyle name="Normal 3 179 2" xfId="824" xr:uid="{00000000-0005-0000-0000-000037030000}"/>
    <cellStyle name="Normal 3 18" xfId="825" xr:uid="{00000000-0005-0000-0000-000038030000}"/>
    <cellStyle name="Normal 3 18 2" xfId="826" xr:uid="{00000000-0005-0000-0000-000039030000}"/>
    <cellStyle name="Normal 3 180" xfId="827" xr:uid="{00000000-0005-0000-0000-00003A030000}"/>
    <cellStyle name="Normal 3 180 2" xfId="828" xr:uid="{00000000-0005-0000-0000-00003B030000}"/>
    <cellStyle name="Normal 3 181" xfId="829" xr:uid="{00000000-0005-0000-0000-00003C030000}"/>
    <cellStyle name="Normal 3 181 2" xfId="830" xr:uid="{00000000-0005-0000-0000-00003D030000}"/>
    <cellStyle name="Normal 3 182" xfId="831" xr:uid="{00000000-0005-0000-0000-00003E030000}"/>
    <cellStyle name="Normal 3 182 2" xfId="832" xr:uid="{00000000-0005-0000-0000-00003F030000}"/>
    <cellStyle name="Normal 3 183" xfId="833" xr:uid="{00000000-0005-0000-0000-000040030000}"/>
    <cellStyle name="Normal 3 183 2" xfId="834" xr:uid="{00000000-0005-0000-0000-000041030000}"/>
    <cellStyle name="Normal 3 184" xfId="835" xr:uid="{00000000-0005-0000-0000-000042030000}"/>
    <cellStyle name="Normal 3 184 2" xfId="836" xr:uid="{00000000-0005-0000-0000-000043030000}"/>
    <cellStyle name="Normal 3 185" xfId="837" xr:uid="{00000000-0005-0000-0000-000044030000}"/>
    <cellStyle name="Normal 3 185 2" xfId="838" xr:uid="{00000000-0005-0000-0000-000045030000}"/>
    <cellStyle name="Normal 3 186" xfId="839" xr:uid="{00000000-0005-0000-0000-000046030000}"/>
    <cellStyle name="Normal 3 186 2" xfId="840" xr:uid="{00000000-0005-0000-0000-000047030000}"/>
    <cellStyle name="Normal 3 187" xfId="841" xr:uid="{00000000-0005-0000-0000-000048030000}"/>
    <cellStyle name="Normal 3 187 2" xfId="842" xr:uid="{00000000-0005-0000-0000-000049030000}"/>
    <cellStyle name="Normal 3 188" xfId="843" xr:uid="{00000000-0005-0000-0000-00004A030000}"/>
    <cellStyle name="Normal 3 188 2" xfId="844" xr:uid="{00000000-0005-0000-0000-00004B030000}"/>
    <cellStyle name="Normal 3 189" xfId="845" xr:uid="{00000000-0005-0000-0000-00004C030000}"/>
    <cellStyle name="Normal 3 189 2" xfId="846" xr:uid="{00000000-0005-0000-0000-00004D030000}"/>
    <cellStyle name="Normal 3 19" xfId="847" xr:uid="{00000000-0005-0000-0000-00004E030000}"/>
    <cellStyle name="Normal 3 19 2" xfId="848" xr:uid="{00000000-0005-0000-0000-00004F030000}"/>
    <cellStyle name="Normal 3 190" xfId="849" xr:uid="{00000000-0005-0000-0000-000050030000}"/>
    <cellStyle name="Normal 3 190 2" xfId="850" xr:uid="{00000000-0005-0000-0000-000051030000}"/>
    <cellStyle name="Normal 3 191" xfId="851" xr:uid="{00000000-0005-0000-0000-000052030000}"/>
    <cellStyle name="Normal 3 191 2" xfId="852" xr:uid="{00000000-0005-0000-0000-000053030000}"/>
    <cellStyle name="Normal 3 192" xfId="853" xr:uid="{00000000-0005-0000-0000-000054030000}"/>
    <cellStyle name="Normal 3 192 2" xfId="854" xr:uid="{00000000-0005-0000-0000-000055030000}"/>
    <cellStyle name="Normal 3 193" xfId="855" xr:uid="{00000000-0005-0000-0000-000056030000}"/>
    <cellStyle name="Normal 3 193 2" xfId="856" xr:uid="{00000000-0005-0000-0000-000057030000}"/>
    <cellStyle name="Normal 3 194" xfId="857" xr:uid="{00000000-0005-0000-0000-000058030000}"/>
    <cellStyle name="Normal 3 194 2" xfId="858" xr:uid="{00000000-0005-0000-0000-000059030000}"/>
    <cellStyle name="Normal 3 195" xfId="859" xr:uid="{00000000-0005-0000-0000-00005A030000}"/>
    <cellStyle name="Normal 3 195 2" xfId="860" xr:uid="{00000000-0005-0000-0000-00005B030000}"/>
    <cellStyle name="Normal 3 196" xfId="861" xr:uid="{00000000-0005-0000-0000-00005C030000}"/>
    <cellStyle name="Normal 3 2" xfId="862" xr:uid="{00000000-0005-0000-0000-00005D030000}"/>
    <cellStyle name="Normal 3 2 2" xfId="863" xr:uid="{00000000-0005-0000-0000-00005E030000}"/>
    <cellStyle name="Normal 3 20" xfId="864" xr:uid="{00000000-0005-0000-0000-00005F030000}"/>
    <cellStyle name="Normal 3 20 2" xfId="865" xr:uid="{00000000-0005-0000-0000-000060030000}"/>
    <cellStyle name="Normal 3 21" xfId="866" xr:uid="{00000000-0005-0000-0000-000061030000}"/>
    <cellStyle name="Normal 3 21 2" xfId="867" xr:uid="{00000000-0005-0000-0000-000062030000}"/>
    <cellStyle name="Normal 3 22" xfId="868" xr:uid="{00000000-0005-0000-0000-000063030000}"/>
    <cellStyle name="Normal 3 22 2" xfId="869" xr:uid="{00000000-0005-0000-0000-000064030000}"/>
    <cellStyle name="Normal 3 23" xfId="870" xr:uid="{00000000-0005-0000-0000-000065030000}"/>
    <cellStyle name="Normal 3 23 2" xfId="871" xr:uid="{00000000-0005-0000-0000-000066030000}"/>
    <cellStyle name="Normal 3 24" xfId="872" xr:uid="{00000000-0005-0000-0000-000067030000}"/>
    <cellStyle name="Normal 3 24 2" xfId="873" xr:uid="{00000000-0005-0000-0000-000068030000}"/>
    <cellStyle name="Normal 3 25" xfId="874" xr:uid="{00000000-0005-0000-0000-000069030000}"/>
    <cellStyle name="Normal 3 25 2" xfId="875" xr:uid="{00000000-0005-0000-0000-00006A030000}"/>
    <cellStyle name="Normal 3 26" xfId="876" xr:uid="{00000000-0005-0000-0000-00006B030000}"/>
    <cellStyle name="Normal 3 26 2" xfId="877" xr:uid="{00000000-0005-0000-0000-00006C030000}"/>
    <cellStyle name="Normal 3 27" xfId="878" xr:uid="{00000000-0005-0000-0000-00006D030000}"/>
    <cellStyle name="Normal 3 27 2" xfId="879" xr:uid="{00000000-0005-0000-0000-00006E030000}"/>
    <cellStyle name="Normal 3 28" xfId="880" xr:uid="{00000000-0005-0000-0000-00006F030000}"/>
    <cellStyle name="Normal 3 28 2" xfId="881" xr:uid="{00000000-0005-0000-0000-000070030000}"/>
    <cellStyle name="Normal 3 29" xfId="882" xr:uid="{00000000-0005-0000-0000-000071030000}"/>
    <cellStyle name="Normal 3 29 2" xfId="883" xr:uid="{00000000-0005-0000-0000-000072030000}"/>
    <cellStyle name="Normal 3 3" xfId="884" xr:uid="{00000000-0005-0000-0000-000073030000}"/>
    <cellStyle name="Normal 3 3 2" xfId="885" xr:uid="{00000000-0005-0000-0000-000074030000}"/>
    <cellStyle name="Normal 3 30" xfId="886" xr:uid="{00000000-0005-0000-0000-000075030000}"/>
    <cellStyle name="Normal 3 30 2" xfId="887" xr:uid="{00000000-0005-0000-0000-000076030000}"/>
    <cellStyle name="Normal 3 31" xfId="888" xr:uid="{00000000-0005-0000-0000-000077030000}"/>
    <cellStyle name="Normal 3 31 2" xfId="889" xr:uid="{00000000-0005-0000-0000-000078030000}"/>
    <cellStyle name="Normal 3 32" xfId="890" xr:uid="{00000000-0005-0000-0000-000079030000}"/>
    <cellStyle name="Normal 3 32 2" xfId="891" xr:uid="{00000000-0005-0000-0000-00007A030000}"/>
    <cellStyle name="Normal 3 33" xfId="892" xr:uid="{00000000-0005-0000-0000-00007B030000}"/>
    <cellStyle name="Normal 3 33 2" xfId="893" xr:uid="{00000000-0005-0000-0000-00007C030000}"/>
    <cellStyle name="Normal 3 34" xfId="894" xr:uid="{00000000-0005-0000-0000-00007D030000}"/>
    <cellStyle name="Normal 3 34 2" xfId="895" xr:uid="{00000000-0005-0000-0000-00007E030000}"/>
    <cellStyle name="Normal 3 35" xfId="896" xr:uid="{00000000-0005-0000-0000-00007F030000}"/>
    <cellStyle name="Normal 3 35 2" xfId="897" xr:uid="{00000000-0005-0000-0000-000080030000}"/>
    <cellStyle name="Normal 3 36" xfId="898" xr:uid="{00000000-0005-0000-0000-000081030000}"/>
    <cellStyle name="Normal 3 36 2" xfId="899" xr:uid="{00000000-0005-0000-0000-000082030000}"/>
    <cellStyle name="Normal 3 37" xfId="900" xr:uid="{00000000-0005-0000-0000-000083030000}"/>
    <cellStyle name="Normal 3 37 2" xfId="901" xr:uid="{00000000-0005-0000-0000-000084030000}"/>
    <cellStyle name="Normal 3 38" xfId="902" xr:uid="{00000000-0005-0000-0000-000085030000}"/>
    <cellStyle name="Normal 3 38 2" xfId="903" xr:uid="{00000000-0005-0000-0000-000086030000}"/>
    <cellStyle name="Normal 3 39" xfId="904" xr:uid="{00000000-0005-0000-0000-000087030000}"/>
    <cellStyle name="Normal 3 39 2" xfId="905" xr:uid="{00000000-0005-0000-0000-000088030000}"/>
    <cellStyle name="Normal 3 4" xfId="906" xr:uid="{00000000-0005-0000-0000-000089030000}"/>
    <cellStyle name="Normal 3 4 2" xfId="907" xr:uid="{00000000-0005-0000-0000-00008A030000}"/>
    <cellStyle name="Normal 3 40" xfId="908" xr:uid="{00000000-0005-0000-0000-00008B030000}"/>
    <cellStyle name="Normal 3 40 2" xfId="909" xr:uid="{00000000-0005-0000-0000-00008C030000}"/>
    <cellStyle name="Normal 3 41" xfId="910" xr:uid="{00000000-0005-0000-0000-00008D030000}"/>
    <cellStyle name="Normal 3 41 2" xfId="911" xr:uid="{00000000-0005-0000-0000-00008E030000}"/>
    <cellStyle name="Normal 3 42" xfId="912" xr:uid="{00000000-0005-0000-0000-00008F030000}"/>
    <cellStyle name="Normal 3 42 2" xfId="913" xr:uid="{00000000-0005-0000-0000-000090030000}"/>
    <cellStyle name="Normal 3 43" xfId="914" xr:uid="{00000000-0005-0000-0000-000091030000}"/>
    <cellStyle name="Normal 3 43 2" xfId="915" xr:uid="{00000000-0005-0000-0000-000092030000}"/>
    <cellStyle name="Normal 3 44" xfId="916" xr:uid="{00000000-0005-0000-0000-000093030000}"/>
    <cellStyle name="Normal 3 44 2" xfId="917" xr:uid="{00000000-0005-0000-0000-000094030000}"/>
    <cellStyle name="Normal 3 45" xfId="918" xr:uid="{00000000-0005-0000-0000-000095030000}"/>
    <cellStyle name="Normal 3 45 2" xfId="919" xr:uid="{00000000-0005-0000-0000-000096030000}"/>
    <cellStyle name="Normal 3 46" xfId="920" xr:uid="{00000000-0005-0000-0000-000097030000}"/>
    <cellStyle name="Normal 3 46 2" xfId="921" xr:uid="{00000000-0005-0000-0000-000098030000}"/>
    <cellStyle name="Normal 3 47" xfId="922" xr:uid="{00000000-0005-0000-0000-000099030000}"/>
    <cellStyle name="Normal 3 47 2" xfId="923" xr:uid="{00000000-0005-0000-0000-00009A030000}"/>
    <cellStyle name="Normal 3 48" xfId="924" xr:uid="{00000000-0005-0000-0000-00009B030000}"/>
    <cellStyle name="Normal 3 48 2" xfId="925" xr:uid="{00000000-0005-0000-0000-00009C030000}"/>
    <cellStyle name="Normal 3 49" xfId="926" xr:uid="{00000000-0005-0000-0000-00009D030000}"/>
    <cellStyle name="Normal 3 49 2" xfId="927" xr:uid="{00000000-0005-0000-0000-00009E030000}"/>
    <cellStyle name="Normal 3 5" xfId="928" xr:uid="{00000000-0005-0000-0000-00009F030000}"/>
    <cellStyle name="Normal 3 5 2" xfId="929" xr:uid="{00000000-0005-0000-0000-0000A0030000}"/>
    <cellStyle name="Normal 3 50" xfId="930" xr:uid="{00000000-0005-0000-0000-0000A1030000}"/>
    <cellStyle name="Normal 3 50 2" xfId="931" xr:uid="{00000000-0005-0000-0000-0000A2030000}"/>
    <cellStyle name="Normal 3 51" xfId="932" xr:uid="{00000000-0005-0000-0000-0000A3030000}"/>
    <cellStyle name="Normal 3 51 2" xfId="933" xr:uid="{00000000-0005-0000-0000-0000A4030000}"/>
    <cellStyle name="Normal 3 52" xfId="934" xr:uid="{00000000-0005-0000-0000-0000A5030000}"/>
    <cellStyle name="Normal 3 52 2" xfId="935" xr:uid="{00000000-0005-0000-0000-0000A6030000}"/>
    <cellStyle name="Normal 3 53" xfId="936" xr:uid="{00000000-0005-0000-0000-0000A7030000}"/>
    <cellStyle name="Normal 3 53 2" xfId="937" xr:uid="{00000000-0005-0000-0000-0000A8030000}"/>
    <cellStyle name="Normal 3 54" xfId="938" xr:uid="{00000000-0005-0000-0000-0000A9030000}"/>
    <cellStyle name="Normal 3 54 2" xfId="939" xr:uid="{00000000-0005-0000-0000-0000AA030000}"/>
    <cellStyle name="Normal 3 55" xfId="940" xr:uid="{00000000-0005-0000-0000-0000AB030000}"/>
    <cellStyle name="Normal 3 55 2" xfId="941" xr:uid="{00000000-0005-0000-0000-0000AC030000}"/>
    <cellStyle name="Normal 3 56" xfId="942" xr:uid="{00000000-0005-0000-0000-0000AD030000}"/>
    <cellStyle name="Normal 3 56 2" xfId="943" xr:uid="{00000000-0005-0000-0000-0000AE030000}"/>
    <cellStyle name="Normal 3 57" xfId="944" xr:uid="{00000000-0005-0000-0000-0000AF030000}"/>
    <cellStyle name="Normal 3 57 2" xfId="945" xr:uid="{00000000-0005-0000-0000-0000B0030000}"/>
    <cellStyle name="Normal 3 58" xfId="946" xr:uid="{00000000-0005-0000-0000-0000B1030000}"/>
    <cellStyle name="Normal 3 58 2" xfId="947" xr:uid="{00000000-0005-0000-0000-0000B2030000}"/>
    <cellStyle name="Normal 3 59" xfId="948" xr:uid="{00000000-0005-0000-0000-0000B3030000}"/>
    <cellStyle name="Normal 3 59 2" xfId="949" xr:uid="{00000000-0005-0000-0000-0000B4030000}"/>
    <cellStyle name="Normal 3 6" xfId="950" xr:uid="{00000000-0005-0000-0000-0000B5030000}"/>
    <cellStyle name="Normal 3 6 2" xfId="951" xr:uid="{00000000-0005-0000-0000-0000B6030000}"/>
    <cellStyle name="Normal 3 60" xfId="952" xr:uid="{00000000-0005-0000-0000-0000B7030000}"/>
    <cellStyle name="Normal 3 60 2" xfId="953" xr:uid="{00000000-0005-0000-0000-0000B8030000}"/>
    <cellStyle name="Normal 3 61" xfId="954" xr:uid="{00000000-0005-0000-0000-0000B9030000}"/>
    <cellStyle name="Normal 3 61 2" xfId="955" xr:uid="{00000000-0005-0000-0000-0000BA030000}"/>
    <cellStyle name="Normal 3 62" xfId="956" xr:uid="{00000000-0005-0000-0000-0000BB030000}"/>
    <cellStyle name="Normal 3 62 2" xfId="957" xr:uid="{00000000-0005-0000-0000-0000BC030000}"/>
    <cellStyle name="Normal 3 63" xfId="958" xr:uid="{00000000-0005-0000-0000-0000BD030000}"/>
    <cellStyle name="Normal 3 63 2" xfId="959" xr:uid="{00000000-0005-0000-0000-0000BE030000}"/>
    <cellStyle name="Normal 3 64" xfId="960" xr:uid="{00000000-0005-0000-0000-0000BF030000}"/>
    <cellStyle name="Normal 3 64 2" xfId="961" xr:uid="{00000000-0005-0000-0000-0000C0030000}"/>
    <cellStyle name="Normal 3 65" xfId="962" xr:uid="{00000000-0005-0000-0000-0000C1030000}"/>
    <cellStyle name="Normal 3 65 2" xfId="963" xr:uid="{00000000-0005-0000-0000-0000C2030000}"/>
    <cellStyle name="Normal 3 66" xfId="964" xr:uid="{00000000-0005-0000-0000-0000C3030000}"/>
    <cellStyle name="Normal 3 66 2" xfId="965" xr:uid="{00000000-0005-0000-0000-0000C4030000}"/>
    <cellStyle name="Normal 3 67" xfId="966" xr:uid="{00000000-0005-0000-0000-0000C5030000}"/>
    <cellStyle name="Normal 3 67 2" xfId="967" xr:uid="{00000000-0005-0000-0000-0000C6030000}"/>
    <cellStyle name="Normal 3 68" xfId="968" xr:uid="{00000000-0005-0000-0000-0000C7030000}"/>
    <cellStyle name="Normal 3 68 2" xfId="969" xr:uid="{00000000-0005-0000-0000-0000C8030000}"/>
    <cellStyle name="Normal 3 69" xfId="970" xr:uid="{00000000-0005-0000-0000-0000C9030000}"/>
    <cellStyle name="Normal 3 69 2" xfId="971" xr:uid="{00000000-0005-0000-0000-0000CA030000}"/>
    <cellStyle name="Normal 3 7" xfId="972" xr:uid="{00000000-0005-0000-0000-0000CB030000}"/>
    <cellStyle name="Normal 3 7 2" xfId="973" xr:uid="{00000000-0005-0000-0000-0000CC030000}"/>
    <cellStyle name="Normal 3 70" xfId="974" xr:uid="{00000000-0005-0000-0000-0000CD030000}"/>
    <cellStyle name="Normal 3 70 2" xfId="975" xr:uid="{00000000-0005-0000-0000-0000CE030000}"/>
    <cellStyle name="Normal 3 71" xfId="976" xr:uid="{00000000-0005-0000-0000-0000CF030000}"/>
    <cellStyle name="Normal 3 71 2" xfId="977" xr:uid="{00000000-0005-0000-0000-0000D0030000}"/>
    <cellStyle name="Normal 3 72" xfId="978" xr:uid="{00000000-0005-0000-0000-0000D1030000}"/>
    <cellStyle name="Normal 3 72 2" xfId="979" xr:uid="{00000000-0005-0000-0000-0000D2030000}"/>
    <cellStyle name="Normal 3 73" xfId="980" xr:uid="{00000000-0005-0000-0000-0000D3030000}"/>
    <cellStyle name="Normal 3 73 2" xfId="981" xr:uid="{00000000-0005-0000-0000-0000D4030000}"/>
    <cellStyle name="Normal 3 74" xfId="982" xr:uid="{00000000-0005-0000-0000-0000D5030000}"/>
    <cellStyle name="Normal 3 74 2" xfId="983" xr:uid="{00000000-0005-0000-0000-0000D6030000}"/>
    <cellStyle name="Normal 3 75" xfId="984" xr:uid="{00000000-0005-0000-0000-0000D7030000}"/>
    <cellStyle name="Normal 3 75 2" xfId="985" xr:uid="{00000000-0005-0000-0000-0000D8030000}"/>
    <cellStyle name="Normal 3 76" xfId="986" xr:uid="{00000000-0005-0000-0000-0000D9030000}"/>
    <cellStyle name="Normal 3 76 2" xfId="987" xr:uid="{00000000-0005-0000-0000-0000DA030000}"/>
    <cellStyle name="Normal 3 77" xfId="988" xr:uid="{00000000-0005-0000-0000-0000DB030000}"/>
    <cellStyle name="Normal 3 77 2" xfId="989" xr:uid="{00000000-0005-0000-0000-0000DC030000}"/>
    <cellStyle name="Normal 3 78" xfId="990" xr:uid="{00000000-0005-0000-0000-0000DD030000}"/>
    <cellStyle name="Normal 3 78 2" xfId="991" xr:uid="{00000000-0005-0000-0000-0000DE030000}"/>
    <cellStyle name="Normal 3 79" xfId="992" xr:uid="{00000000-0005-0000-0000-0000DF030000}"/>
    <cellStyle name="Normal 3 79 2" xfId="993" xr:uid="{00000000-0005-0000-0000-0000E0030000}"/>
    <cellStyle name="Normal 3 8" xfId="994" xr:uid="{00000000-0005-0000-0000-0000E1030000}"/>
    <cellStyle name="Normal 3 8 2" xfId="995" xr:uid="{00000000-0005-0000-0000-0000E2030000}"/>
    <cellStyle name="Normal 3 80" xfId="996" xr:uid="{00000000-0005-0000-0000-0000E3030000}"/>
    <cellStyle name="Normal 3 80 2" xfId="997" xr:uid="{00000000-0005-0000-0000-0000E4030000}"/>
    <cellStyle name="Normal 3 81" xfId="998" xr:uid="{00000000-0005-0000-0000-0000E5030000}"/>
    <cellStyle name="Normal 3 81 2" xfId="999" xr:uid="{00000000-0005-0000-0000-0000E6030000}"/>
    <cellStyle name="Normal 3 82" xfId="1000" xr:uid="{00000000-0005-0000-0000-0000E7030000}"/>
    <cellStyle name="Normal 3 82 2" xfId="1001" xr:uid="{00000000-0005-0000-0000-0000E8030000}"/>
    <cellStyle name="Normal 3 83" xfId="1002" xr:uid="{00000000-0005-0000-0000-0000E9030000}"/>
    <cellStyle name="Normal 3 83 2" xfId="1003" xr:uid="{00000000-0005-0000-0000-0000EA030000}"/>
    <cellStyle name="Normal 3 84" xfId="1004" xr:uid="{00000000-0005-0000-0000-0000EB030000}"/>
    <cellStyle name="Normal 3 84 2" xfId="1005" xr:uid="{00000000-0005-0000-0000-0000EC030000}"/>
    <cellStyle name="Normal 3 85" xfId="1006" xr:uid="{00000000-0005-0000-0000-0000ED030000}"/>
    <cellStyle name="Normal 3 85 2" xfId="1007" xr:uid="{00000000-0005-0000-0000-0000EE030000}"/>
    <cellStyle name="Normal 3 86" xfId="1008" xr:uid="{00000000-0005-0000-0000-0000EF030000}"/>
    <cellStyle name="Normal 3 86 2" xfId="1009" xr:uid="{00000000-0005-0000-0000-0000F0030000}"/>
    <cellStyle name="Normal 3 87" xfId="1010" xr:uid="{00000000-0005-0000-0000-0000F1030000}"/>
    <cellStyle name="Normal 3 87 2" xfId="1011" xr:uid="{00000000-0005-0000-0000-0000F2030000}"/>
    <cellStyle name="Normal 3 88" xfId="1012" xr:uid="{00000000-0005-0000-0000-0000F3030000}"/>
    <cellStyle name="Normal 3 88 2" xfId="1013" xr:uid="{00000000-0005-0000-0000-0000F4030000}"/>
    <cellStyle name="Normal 3 89" xfId="1014" xr:uid="{00000000-0005-0000-0000-0000F5030000}"/>
    <cellStyle name="Normal 3 89 2" xfId="1015" xr:uid="{00000000-0005-0000-0000-0000F6030000}"/>
    <cellStyle name="Normal 3 9" xfId="1016" xr:uid="{00000000-0005-0000-0000-0000F7030000}"/>
    <cellStyle name="Normal 3 9 2" xfId="1017" xr:uid="{00000000-0005-0000-0000-0000F8030000}"/>
    <cellStyle name="Normal 3 90" xfId="1018" xr:uid="{00000000-0005-0000-0000-0000F9030000}"/>
    <cellStyle name="Normal 3 90 2" xfId="1019" xr:uid="{00000000-0005-0000-0000-0000FA030000}"/>
    <cellStyle name="Normal 3 91" xfId="1020" xr:uid="{00000000-0005-0000-0000-0000FB030000}"/>
    <cellStyle name="Normal 3 91 2" xfId="1021" xr:uid="{00000000-0005-0000-0000-0000FC030000}"/>
    <cellStyle name="Normal 3 92" xfId="1022" xr:uid="{00000000-0005-0000-0000-0000FD030000}"/>
    <cellStyle name="Normal 3 92 2" xfId="1023" xr:uid="{00000000-0005-0000-0000-0000FE030000}"/>
    <cellStyle name="Normal 3 93" xfId="1024" xr:uid="{00000000-0005-0000-0000-0000FF030000}"/>
    <cellStyle name="Normal 3 93 2" xfId="1025" xr:uid="{00000000-0005-0000-0000-000000040000}"/>
    <cellStyle name="Normal 3 94" xfId="1026" xr:uid="{00000000-0005-0000-0000-000001040000}"/>
    <cellStyle name="Normal 3 94 2" xfId="1027" xr:uid="{00000000-0005-0000-0000-000002040000}"/>
    <cellStyle name="Normal 3 95" xfId="1028" xr:uid="{00000000-0005-0000-0000-000003040000}"/>
    <cellStyle name="Normal 3 95 2" xfId="1029" xr:uid="{00000000-0005-0000-0000-000004040000}"/>
    <cellStyle name="Normal 3 96" xfId="1030" xr:uid="{00000000-0005-0000-0000-000005040000}"/>
    <cellStyle name="Normal 3 96 2" xfId="1031" xr:uid="{00000000-0005-0000-0000-000006040000}"/>
    <cellStyle name="Normal 3 97" xfId="1032" xr:uid="{00000000-0005-0000-0000-000007040000}"/>
    <cellStyle name="Normal 3 97 2" xfId="1033" xr:uid="{00000000-0005-0000-0000-000008040000}"/>
    <cellStyle name="Normal 3 98" xfId="1034" xr:uid="{00000000-0005-0000-0000-000009040000}"/>
    <cellStyle name="Normal 3 98 2" xfId="1035" xr:uid="{00000000-0005-0000-0000-00000A040000}"/>
    <cellStyle name="Normal 3 99" xfId="1036" xr:uid="{00000000-0005-0000-0000-00000B040000}"/>
    <cellStyle name="Normal 3 99 2" xfId="1037" xr:uid="{00000000-0005-0000-0000-00000C040000}"/>
    <cellStyle name="Normal 3_PGO 2014preliminarLibre10Dic" xfId="1038" xr:uid="{00000000-0005-0000-0000-00000D040000}"/>
    <cellStyle name="Normal 30" xfId="1039" xr:uid="{00000000-0005-0000-0000-00000E040000}"/>
    <cellStyle name="Normal 30 10" xfId="1040" xr:uid="{00000000-0005-0000-0000-00000F040000}"/>
    <cellStyle name="Normal 30 2" xfId="1041" xr:uid="{00000000-0005-0000-0000-000010040000}"/>
    <cellStyle name="Normal 30 3" xfId="1042" xr:uid="{00000000-0005-0000-0000-000011040000}"/>
    <cellStyle name="Normal 30 4" xfId="1043" xr:uid="{00000000-0005-0000-0000-000012040000}"/>
    <cellStyle name="Normal 30 5" xfId="1044" xr:uid="{00000000-0005-0000-0000-000013040000}"/>
    <cellStyle name="Normal 30 6" xfId="1045" xr:uid="{00000000-0005-0000-0000-000014040000}"/>
    <cellStyle name="Normal 30 7" xfId="1046" xr:uid="{00000000-0005-0000-0000-000015040000}"/>
    <cellStyle name="Normal 30 8" xfId="1047" xr:uid="{00000000-0005-0000-0000-000016040000}"/>
    <cellStyle name="Normal 30 9" xfId="1048" xr:uid="{00000000-0005-0000-0000-000017040000}"/>
    <cellStyle name="Normal 31" xfId="1049" xr:uid="{00000000-0005-0000-0000-000018040000}"/>
    <cellStyle name="Normal 32" xfId="1050" xr:uid="{00000000-0005-0000-0000-000019040000}"/>
    <cellStyle name="Normal 33" xfId="1051" xr:uid="{00000000-0005-0000-0000-00001A040000}"/>
    <cellStyle name="Normal 34" xfId="1052" xr:uid="{00000000-0005-0000-0000-00001B040000}"/>
    <cellStyle name="Normal 35" xfId="1053" xr:uid="{00000000-0005-0000-0000-00001C040000}"/>
    <cellStyle name="Normal 36" xfId="1054" xr:uid="{00000000-0005-0000-0000-00001D040000}"/>
    <cellStyle name="Normal 37" xfId="1055" xr:uid="{00000000-0005-0000-0000-00001E040000}"/>
    <cellStyle name="Normal 37 2" xfId="1056" xr:uid="{00000000-0005-0000-0000-00001F040000}"/>
    <cellStyle name="Normal 38" xfId="1057" xr:uid="{00000000-0005-0000-0000-000020040000}"/>
    <cellStyle name="Normal 38 2" xfId="1058" xr:uid="{00000000-0005-0000-0000-000021040000}"/>
    <cellStyle name="Normal 38 3" xfId="1059" xr:uid="{00000000-0005-0000-0000-000022040000}"/>
    <cellStyle name="Normal 39" xfId="1060" xr:uid="{00000000-0005-0000-0000-000023040000}"/>
    <cellStyle name="Normal 39 10" xfId="1061" xr:uid="{00000000-0005-0000-0000-000024040000}"/>
    <cellStyle name="Normal 39 11" xfId="1062" xr:uid="{00000000-0005-0000-0000-000025040000}"/>
    <cellStyle name="Normal 39 12" xfId="1063" xr:uid="{00000000-0005-0000-0000-000026040000}"/>
    <cellStyle name="Normal 39 13" xfId="1064" xr:uid="{00000000-0005-0000-0000-000027040000}"/>
    <cellStyle name="Normal 39 2" xfId="1065" xr:uid="{00000000-0005-0000-0000-000028040000}"/>
    <cellStyle name="Normal 39 3" xfId="1066" xr:uid="{00000000-0005-0000-0000-000029040000}"/>
    <cellStyle name="Normal 39 4" xfId="1067" xr:uid="{00000000-0005-0000-0000-00002A040000}"/>
    <cellStyle name="Normal 39 5" xfId="1068" xr:uid="{00000000-0005-0000-0000-00002B040000}"/>
    <cellStyle name="Normal 39 6" xfId="1069" xr:uid="{00000000-0005-0000-0000-00002C040000}"/>
    <cellStyle name="Normal 39 7" xfId="1070" xr:uid="{00000000-0005-0000-0000-00002D040000}"/>
    <cellStyle name="Normal 39 8" xfId="1071" xr:uid="{00000000-0005-0000-0000-00002E040000}"/>
    <cellStyle name="Normal 39 9" xfId="1072" xr:uid="{00000000-0005-0000-0000-00002F040000}"/>
    <cellStyle name="Normal 4" xfId="1073" xr:uid="{00000000-0005-0000-0000-000030040000}"/>
    <cellStyle name="Normal 4 10" xfId="1074" xr:uid="{00000000-0005-0000-0000-000031040000}"/>
    <cellStyle name="Normal 4 11" xfId="1075" xr:uid="{00000000-0005-0000-0000-000032040000}"/>
    <cellStyle name="Normal 4 12" xfId="1076" xr:uid="{00000000-0005-0000-0000-000033040000}"/>
    <cellStyle name="Normal 4 13" xfId="1077" xr:uid="{00000000-0005-0000-0000-000034040000}"/>
    <cellStyle name="Normal 4 14" xfId="1078" xr:uid="{00000000-0005-0000-0000-000035040000}"/>
    <cellStyle name="Normal 4 2" xfId="1079" xr:uid="{00000000-0005-0000-0000-000036040000}"/>
    <cellStyle name="Normal 4 2 2" xfId="1080" xr:uid="{00000000-0005-0000-0000-000037040000}"/>
    <cellStyle name="Normal 4 2 2 2" xfId="1081" xr:uid="{00000000-0005-0000-0000-000038040000}"/>
    <cellStyle name="Normal 4 2 3" xfId="1082" xr:uid="{00000000-0005-0000-0000-000039040000}"/>
    <cellStyle name="Normal 4 2 4" xfId="1083" xr:uid="{00000000-0005-0000-0000-00003A040000}"/>
    <cellStyle name="Normal 4 3" xfId="1084" xr:uid="{00000000-0005-0000-0000-00003B040000}"/>
    <cellStyle name="Normal 4 3 2" xfId="1085" xr:uid="{00000000-0005-0000-0000-00003C040000}"/>
    <cellStyle name="Normal 4 3 2 2" xfId="1086" xr:uid="{00000000-0005-0000-0000-00003D040000}"/>
    <cellStyle name="Normal 4 3 3" xfId="1087" xr:uid="{00000000-0005-0000-0000-00003E040000}"/>
    <cellStyle name="Normal 4 3 4" xfId="1088" xr:uid="{00000000-0005-0000-0000-00003F040000}"/>
    <cellStyle name="Normal 4 4" xfId="1089" xr:uid="{00000000-0005-0000-0000-000040040000}"/>
    <cellStyle name="Normal 4 4 2" xfId="1090" xr:uid="{00000000-0005-0000-0000-000041040000}"/>
    <cellStyle name="Normal 4 4 2 2" xfId="1091" xr:uid="{00000000-0005-0000-0000-000042040000}"/>
    <cellStyle name="Normal 4 5" xfId="1092" xr:uid="{00000000-0005-0000-0000-000043040000}"/>
    <cellStyle name="Normal 4 5 2" xfId="1093" xr:uid="{00000000-0005-0000-0000-000044040000}"/>
    <cellStyle name="Normal 4 6" xfId="1094" xr:uid="{00000000-0005-0000-0000-000045040000}"/>
    <cellStyle name="Normal 4 6 2" xfId="1095" xr:uid="{00000000-0005-0000-0000-000046040000}"/>
    <cellStyle name="Normal 4 7" xfId="1096" xr:uid="{00000000-0005-0000-0000-000047040000}"/>
    <cellStyle name="Normal 4 8" xfId="1097" xr:uid="{00000000-0005-0000-0000-000048040000}"/>
    <cellStyle name="Normal 4 9" xfId="1098" xr:uid="{00000000-0005-0000-0000-000049040000}"/>
    <cellStyle name="Normal 40" xfId="1099" xr:uid="{00000000-0005-0000-0000-00004A040000}"/>
    <cellStyle name="Normal 40 10" xfId="1100" xr:uid="{00000000-0005-0000-0000-00004B040000}"/>
    <cellStyle name="Normal 40 2" xfId="1101" xr:uid="{00000000-0005-0000-0000-00004C040000}"/>
    <cellStyle name="Normal 40 3" xfId="1102" xr:uid="{00000000-0005-0000-0000-00004D040000}"/>
    <cellStyle name="Normal 40 4" xfId="1103" xr:uid="{00000000-0005-0000-0000-00004E040000}"/>
    <cellStyle name="Normal 40 5" xfId="1104" xr:uid="{00000000-0005-0000-0000-00004F040000}"/>
    <cellStyle name="Normal 40 6" xfId="1105" xr:uid="{00000000-0005-0000-0000-000050040000}"/>
    <cellStyle name="Normal 40 7" xfId="1106" xr:uid="{00000000-0005-0000-0000-000051040000}"/>
    <cellStyle name="Normal 40 8" xfId="1107" xr:uid="{00000000-0005-0000-0000-000052040000}"/>
    <cellStyle name="Normal 40 9" xfId="1108" xr:uid="{00000000-0005-0000-0000-000053040000}"/>
    <cellStyle name="Normal 41" xfId="1109" xr:uid="{00000000-0005-0000-0000-000054040000}"/>
    <cellStyle name="Normal 41 10" xfId="1110" xr:uid="{00000000-0005-0000-0000-000055040000}"/>
    <cellStyle name="Normal 41 2" xfId="1111" xr:uid="{00000000-0005-0000-0000-000056040000}"/>
    <cellStyle name="Normal 41 3" xfId="1112" xr:uid="{00000000-0005-0000-0000-000057040000}"/>
    <cellStyle name="Normal 41 4" xfId="1113" xr:uid="{00000000-0005-0000-0000-000058040000}"/>
    <cellStyle name="Normal 41 5" xfId="1114" xr:uid="{00000000-0005-0000-0000-000059040000}"/>
    <cellStyle name="Normal 41 6" xfId="1115" xr:uid="{00000000-0005-0000-0000-00005A040000}"/>
    <cellStyle name="Normal 41 7" xfId="1116" xr:uid="{00000000-0005-0000-0000-00005B040000}"/>
    <cellStyle name="Normal 41 8" xfId="1117" xr:uid="{00000000-0005-0000-0000-00005C040000}"/>
    <cellStyle name="Normal 41 9" xfId="1118" xr:uid="{00000000-0005-0000-0000-00005D040000}"/>
    <cellStyle name="Normal 42" xfId="1119" xr:uid="{00000000-0005-0000-0000-00005E040000}"/>
    <cellStyle name="Normal 42 10" xfId="1120" xr:uid="{00000000-0005-0000-0000-00005F040000}"/>
    <cellStyle name="Normal 42 2" xfId="1121" xr:uid="{00000000-0005-0000-0000-000060040000}"/>
    <cellStyle name="Normal 42 3" xfId="1122" xr:uid="{00000000-0005-0000-0000-000061040000}"/>
    <cellStyle name="Normal 42 4" xfId="1123" xr:uid="{00000000-0005-0000-0000-000062040000}"/>
    <cellStyle name="Normal 42 5" xfId="1124" xr:uid="{00000000-0005-0000-0000-000063040000}"/>
    <cellStyle name="Normal 42 6" xfId="1125" xr:uid="{00000000-0005-0000-0000-000064040000}"/>
    <cellStyle name="Normal 42 7" xfId="1126" xr:uid="{00000000-0005-0000-0000-000065040000}"/>
    <cellStyle name="Normal 42 8" xfId="1127" xr:uid="{00000000-0005-0000-0000-000066040000}"/>
    <cellStyle name="Normal 42 9" xfId="1128" xr:uid="{00000000-0005-0000-0000-000067040000}"/>
    <cellStyle name="Normal 43" xfId="1129" xr:uid="{00000000-0005-0000-0000-000068040000}"/>
    <cellStyle name="Normal 43 2" xfId="1130" xr:uid="{00000000-0005-0000-0000-000069040000}"/>
    <cellStyle name="Normal 43 3" xfId="1131" xr:uid="{00000000-0005-0000-0000-00006A040000}"/>
    <cellStyle name="Normal 44" xfId="1132" xr:uid="{00000000-0005-0000-0000-00006B040000}"/>
    <cellStyle name="Normal 44 2" xfId="1133" xr:uid="{00000000-0005-0000-0000-00006C040000}"/>
    <cellStyle name="Normal 44 3" xfId="1134" xr:uid="{00000000-0005-0000-0000-00006D040000}"/>
    <cellStyle name="Normal 45" xfId="1135" xr:uid="{00000000-0005-0000-0000-00006E040000}"/>
    <cellStyle name="Normal 45 2" xfId="1136" xr:uid="{00000000-0005-0000-0000-00006F040000}"/>
    <cellStyle name="Normal 45 3" xfId="1137" xr:uid="{00000000-0005-0000-0000-000070040000}"/>
    <cellStyle name="Normal 46" xfId="1138" xr:uid="{00000000-0005-0000-0000-000071040000}"/>
    <cellStyle name="Normal 46 2" xfId="1139" xr:uid="{00000000-0005-0000-0000-000072040000}"/>
    <cellStyle name="Normal 46 3" xfId="1140" xr:uid="{00000000-0005-0000-0000-000073040000}"/>
    <cellStyle name="Normal 47" xfId="1141" xr:uid="{00000000-0005-0000-0000-000074040000}"/>
    <cellStyle name="Normal 47 10" xfId="1142" xr:uid="{00000000-0005-0000-0000-000075040000}"/>
    <cellStyle name="Normal 47 2" xfId="1143" xr:uid="{00000000-0005-0000-0000-000076040000}"/>
    <cellStyle name="Normal 47 3" xfId="1144" xr:uid="{00000000-0005-0000-0000-000077040000}"/>
    <cellStyle name="Normal 47 4" xfId="1145" xr:uid="{00000000-0005-0000-0000-000078040000}"/>
    <cellStyle name="Normal 47 5" xfId="1146" xr:uid="{00000000-0005-0000-0000-000079040000}"/>
    <cellStyle name="Normal 47 6" xfId="1147" xr:uid="{00000000-0005-0000-0000-00007A040000}"/>
    <cellStyle name="Normal 47 7" xfId="1148" xr:uid="{00000000-0005-0000-0000-00007B040000}"/>
    <cellStyle name="Normal 47 8" xfId="1149" xr:uid="{00000000-0005-0000-0000-00007C040000}"/>
    <cellStyle name="Normal 47 9" xfId="1150" xr:uid="{00000000-0005-0000-0000-00007D040000}"/>
    <cellStyle name="Normal 48" xfId="1151" xr:uid="{00000000-0005-0000-0000-00007E040000}"/>
    <cellStyle name="Normal 49" xfId="1152" xr:uid="{00000000-0005-0000-0000-00007F040000}"/>
    <cellStyle name="Normal 49 2" xfId="1153" xr:uid="{00000000-0005-0000-0000-000080040000}"/>
    <cellStyle name="Normal 5" xfId="1154" xr:uid="{00000000-0005-0000-0000-000081040000}"/>
    <cellStyle name="Normal 5 10" xfId="1155" xr:uid="{00000000-0005-0000-0000-000082040000}"/>
    <cellStyle name="Normal 5 11" xfId="1156" xr:uid="{00000000-0005-0000-0000-000083040000}"/>
    <cellStyle name="Normal 5 12" xfId="1157" xr:uid="{00000000-0005-0000-0000-000084040000}"/>
    <cellStyle name="Normal 5 13" xfId="1158" xr:uid="{00000000-0005-0000-0000-000085040000}"/>
    <cellStyle name="Normal 5 14" xfId="1159" xr:uid="{00000000-0005-0000-0000-000086040000}"/>
    <cellStyle name="Normal 5 2" xfId="1160" xr:uid="{00000000-0005-0000-0000-000087040000}"/>
    <cellStyle name="Normal 5 2 2" xfId="1161" xr:uid="{00000000-0005-0000-0000-000088040000}"/>
    <cellStyle name="Normal 5 2 2 2" xfId="1162" xr:uid="{00000000-0005-0000-0000-000089040000}"/>
    <cellStyle name="Normal 5 3" xfId="1163" xr:uid="{00000000-0005-0000-0000-00008A040000}"/>
    <cellStyle name="Normal 5 3 2" xfId="1164" xr:uid="{00000000-0005-0000-0000-00008B040000}"/>
    <cellStyle name="Normal 5 4" xfId="1165" xr:uid="{00000000-0005-0000-0000-00008C040000}"/>
    <cellStyle name="Normal 5 4 2" xfId="1166" xr:uid="{00000000-0005-0000-0000-00008D040000}"/>
    <cellStyle name="Normal 5 5" xfId="1167" xr:uid="{00000000-0005-0000-0000-00008E040000}"/>
    <cellStyle name="Normal 5 5 2" xfId="1168" xr:uid="{00000000-0005-0000-0000-00008F040000}"/>
    <cellStyle name="Normal 5 6" xfId="1169" xr:uid="{00000000-0005-0000-0000-000090040000}"/>
    <cellStyle name="Normal 5 6 2" xfId="1170" xr:uid="{00000000-0005-0000-0000-000091040000}"/>
    <cellStyle name="Normal 5 7" xfId="1171" xr:uid="{00000000-0005-0000-0000-000092040000}"/>
    <cellStyle name="Normal 5 7 2" xfId="1172" xr:uid="{00000000-0005-0000-0000-000093040000}"/>
    <cellStyle name="Normal 5 8" xfId="1173" xr:uid="{00000000-0005-0000-0000-000094040000}"/>
    <cellStyle name="Normal 5 8 2" xfId="1174" xr:uid="{00000000-0005-0000-0000-000095040000}"/>
    <cellStyle name="Normal 5 9" xfId="1175" xr:uid="{00000000-0005-0000-0000-000096040000}"/>
    <cellStyle name="Normal 51" xfId="1176" xr:uid="{00000000-0005-0000-0000-000097040000}"/>
    <cellStyle name="Normal 51 10" xfId="1177" xr:uid="{00000000-0005-0000-0000-000098040000}"/>
    <cellStyle name="Normal 51 2" xfId="1178" xr:uid="{00000000-0005-0000-0000-000099040000}"/>
    <cellStyle name="Normal 51 3" xfId="1179" xr:uid="{00000000-0005-0000-0000-00009A040000}"/>
    <cellStyle name="Normal 51 4" xfId="1180" xr:uid="{00000000-0005-0000-0000-00009B040000}"/>
    <cellStyle name="Normal 51 5" xfId="1181" xr:uid="{00000000-0005-0000-0000-00009C040000}"/>
    <cellStyle name="Normal 51 6" xfId="1182" xr:uid="{00000000-0005-0000-0000-00009D040000}"/>
    <cellStyle name="Normal 51 7" xfId="1183" xr:uid="{00000000-0005-0000-0000-00009E040000}"/>
    <cellStyle name="Normal 51 8" xfId="1184" xr:uid="{00000000-0005-0000-0000-00009F040000}"/>
    <cellStyle name="Normal 51 9" xfId="1185" xr:uid="{00000000-0005-0000-0000-0000A0040000}"/>
    <cellStyle name="Normal 52" xfId="1186" xr:uid="{00000000-0005-0000-0000-0000A1040000}"/>
    <cellStyle name="Normal 52 10" xfId="1187" xr:uid="{00000000-0005-0000-0000-0000A2040000}"/>
    <cellStyle name="Normal 52 2" xfId="1188" xr:uid="{00000000-0005-0000-0000-0000A3040000}"/>
    <cellStyle name="Normal 52 3" xfId="1189" xr:uid="{00000000-0005-0000-0000-0000A4040000}"/>
    <cellStyle name="Normal 52 4" xfId="1190" xr:uid="{00000000-0005-0000-0000-0000A5040000}"/>
    <cellStyle name="Normal 52 5" xfId="1191" xr:uid="{00000000-0005-0000-0000-0000A6040000}"/>
    <cellStyle name="Normal 52 6" xfId="1192" xr:uid="{00000000-0005-0000-0000-0000A7040000}"/>
    <cellStyle name="Normal 52 7" xfId="1193" xr:uid="{00000000-0005-0000-0000-0000A8040000}"/>
    <cellStyle name="Normal 52 8" xfId="1194" xr:uid="{00000000-0005-0000-0000-0000A9040000}"/>
    <cellStyle name="Normal 52 9" xfId="1195" xr:uid="{00000000-0005-0000-0000-0000AA040000}"/>
    <cellStyle name="Normal 6" xfId="1196" xr:uid="{00000000-0005-0000-0000-0000AB040000}"/>
    <cellStyle name="Normal 6 2" xfId="1197" xr:uid="{00000000-0005-0000-0000-0000AC040000}"/>
    <cellStyle name="Normal 64" xfId="1198" xr:uid="{00000000-0005-0000-0000-0000AD040000}"/>
    <cellStyle name="Normal 65" xfId="1199" xr:uid="{00000000-0005-0000-0000-0000AE040000}"/>
    <cellStyle name="Normal 68" xfId="1200" xr:uid="{00000000-0005-0000-0000-0000AF040000}"/>
    <cellStyle name="Normal 68 2" xfId="1201" xr:uid="{00000000-0005-0000-0000-0000B0040000}"/>
    <cellStyle name="Normal 68 2 2" xfId="1202" xr:uid="{00000000-0005-0000-0000-0000B1040000}"/>
    <cellStyle name="Normal 68 3" xfId="1203" xr:uid="{00000000-0005-0000-0000-0000B2040000}"/>
    <cellStyle name="Normal 7" xfId="1204" xr:uid="{00000000-0005-0000-0000-0000B3040000}"/>
    <cellStyle name="Normal 7 2" xfId="1205" xr:uid="{00000000-0005-0000-0000-0000B4040000}"/>
    <cellStyle name="Normal 7 3" xfId="1206" xr:uid="{00000000-0005-0000-0000-0000B5040000}"/>
    <cellStyle name="Normal 7 3 2" xfId="1207" xr:uid="{00000000-0005-0000-0000-0000B6040000}"/>
    <cellStyle name="Normal 7 4" xfId="1208" xr:uid="{00000000-0005-0000-0000-0000B7040000}"/>
    <cellStyle name="Normal 7 5" xfId="1209" xr:uid="{00000000-0005-0000-0000-0000B8040000}"/>
    <cellStyle name="Normal 7 6" xfId="1210" xr:uid="{00000000-0005-0000-0000-0000B9040000}"/>
    <cellStyle name="Normal 71" xfId="1211" xr:uid="{00000000-0005-0000-0000-0000BA040000}"/>
    <cellStyle name="Normal 71 2" xfId="1212" xr:uid="{00000000-0005-0000-0000-0000BB040000}"/>
    <cellStyle name="Normal 71 2 2" xfId="1213" xr:uid="{00000000-0005-0000-0000-0000BC040000}"/>
    <cellStyle name="Normal 71 3" xfId="1214" xr:uid="{00000000-0005-0000-0000-0000BD040000}"/>
    <cellStyle name="Normal 73" xfId="1215" xr:uid="{00000000-0005-0000-0000-0000BE040000}"/>
    <cellStyle name="Normal 73 2" xfId="1216" xr:uid="{00000000-0005-0000-0000-0000BF040000}"/>
    <cellStyle name="Normal 73 2 2" xfId="1217" xr:uid="{00000000-0005-0000-0000-0000C0040000}"/>
    <cellStyle name="Normal 73 3" xfId="1218" xr:uid="{00000000-0005-0000-0000-0000C1040000}"/>
    <cellStyle name="Normal 73 4" xfId="1219" xr:uid="{00000000-0005-0000-0000-0000C2040000}"/>
    <cellStyle name="Normal 8" xfId="1220" xr:uid="{00000000-0005-0000-0000-0000C3040000}"/>
    <cellStyle name="Normal 8 2" xfId="1221" xr:uid="{00000000-0005-0000-0000-0000C4040000}"/>
    <cellStyle name="Normal 8 3" xfId="1222" xr:uid="{00000000-0005-0000-0000-0000C5040000}"/>
    <cellStyle name="Normal 8 4" xfId="1223" xr:uid="{00000000-0005-0000-0000-0000C6040000}"/>
    <cellStyle name="Normal 9" xfId="1224" xr:uid="{00000000-0005-0000-0000-0000C7040000}"/>
    <cellStyle name="Normal 9 2" xfId="1225" xr:uid="{00000000-0005-0000-0000-0000C8040000}"/>
    <cellStyle name="Normal 9 3" xfId="1226" xr:uid="{00000000-0005-0000-0000-0000C9040000}"/>
    <cellStyle name="Normal 9 4" xfId="1227" xr:uid="{00000000-0005-0000-0000-0000CA040000}"/>
    <cellStyle name="Notas 10" xfId="1228" xr:uid="{00000000-0005-0000-0000-0000CB040000}"/>
    <cellStyle name="Notas 10 10" xfId="1229" xr:uid="{00000000-0005-0000-0000-0000CC040000}"/>
    <cellStyle name="Notas 10 11" xfId="1230" xr:uid="{00000000-0005-0000-0000-0000CD040000}"/>
    <cellStyle name="Notas 10 12" xfId="1231" xr:uid="{00000000-0005-0000-0000-0000CE040000}"/>
    <cellStyle name="Notas 10 13" xfId="1232" xr:uid="{00000000-0005-0000-0000-0000CF040000}"/>
    <cellStyle name="Notas 10 2" xfId="1233" xr:uid="{00000000-0005-0000-0000-0000D0040000}"/>
    <cellStyle name="Notas 10 3" xfId="1234" xr:uid="{00000000-0005-0000-0000-0000D1040000}"/>
    <cellStyle name="Notas 10 4" xfId="1235" xr:uid="{00000000-0005-0000-0000-0000D2040000}"/>
    <cellStyle name="Notas 10 5" xfId="1236" xr:uid="{00000000-0005-0000-0000-0000D3040000}"/>
    <cellStyle name="Notas 10 6" xfId="1237" xr:uid="{00000000-0005-0000-0000-0000D4040000}"/>
    <cellStyle name="Notas 10 7" xfId="1238" xr:uid="{00000000-0005-0000-0000-0000D5040000}"/>
    <cellStyle name="Notas 10 8" xfId="1239" xr:uid="{00000000-0005-0000-0000-0000D6040000}"/>
    <cellStyle name="Notas 10 9" xfId="1240" xr:uid="{00000000-0005-0000-0000-0000D7040000}"/>
    <cellStyle name="Notas 11" xfId="1241" xr:uid="{00000000-0005-0000-0000-0000D8040000}"/>
    <cellStyle name="Notas 11 10" xfId="1242" xr:uid="{00000000-0005-0000-0000-0000D9040000}"/>
    <cellStyle name="Notas 11 11" xfId="1243" xr:uid="{00000000-0005-0000-0000-0000DA040000}"/>
    <cellStyle name="Notas 11 12" xfId="1244" xr:uid="{00000000-0005-0000-0000-0000DB040000}"/>
    <cellStyle name="Notas 11 13" xfId="1245" xr:uid="{00000000-0005-0000-0000-0000DC040000}"/>
    <cellStyle name="Notas 11 2" xfId="1246" xr:uid="{00000000-0005-0000-0000-0000DD040000}"/>
    <cellStyle name="Notas 11 3" xfId="1247" xr:uid="{00000000-0005-0000-0000-0000DE040000}"/>
    <cellStyle name="Notas 11 4" xfId="1248" xr:uid="{00000000-0005-0000-0000-0000DF040000}"/>
    <cellStyle name="Notas 11 5" xfId="1249" xr:uid="{00000000-0005-0000-0000-0000E0040000}"/>
    <cellStyle name="Notas 11 6" xfId="1250" xr:uid="{00000000-0005-0000-0000-0000E1040000}"/>
    <cellStyle name="Notas 11 7" xfId="1251" xr:uid="{00000000-0005-0000-0000-0000E2040000}"/>
    <cellStyle name="Notas 11 8" xfId="1252" xr:uid="{00000000-0005-0000-0000-0000E3040000}"/>
    <cellStyle name="Notas 11 9" xfId="1253" xr:uid="{00000000-0005-0000-0000-0000E4040000}"/>
    <cellStyle name="Notas 12" xfId="1254" xr:uid="{00000000-0005-0000-0000-0000E5040000}"/>
    <cellStyle name="Notas 12 10" xfId="1255" xr:uid="{00000000-0005-0000-0000-0000E6040000}"/>
    <cellStyle name="Notas 12 11" xfId="1256" xr:uid="{00000000-0005-0000-0000-0000E7040000}"/>
    <cellStyle name="Notas 12 12" xfId="1257" xr:uid="{00000000-0005-0000-0000-0000E8040000}"/>
    <cellStyle name="Notas 12 13" xfId="1258" xr:uid="{00000000-0005-0000-0000-0000E9040000}"/>
    <cellStyle name="Notas 12 2" xfId="1259" xr:uid="{00000000-0005-0000-0000-0000EA040000}"/>
    <cellStyle name="Notas 12 3" xfId="1260" xr:uid="{00000000-0005-0000-0000-0000EB040000}"/>
    <cellStyle name="Notas 12 4" xfId="1261" xr:uid="{00000000-0005-0000-0000-0000EC040000}"/>
    <cellStyle name="Notas 12 5" xfId="1262" xr:uid="{00000000-0005-0000-0000-0000ED040000}"/>
    <cellStyle name="Notas 12 6" xfId="1263" xr:uid="{00000000-0005-0000-0000-0000EE040000}"/>
    <cellStyle name="Notas 12 7" xfId="1264" xr:uid="{00000000-0005-0000-0000-0000EF040000}"/>
    <cellStyle name="Notas 12 8" xfId="1265" xr:uid="{00000000-0005-0000-0000-0000F0040000}"/>
    <cellStyle name="Notas 12 9" xfId="1266" xr:uid="{00000000-0005-0000-0000-0000F1040000}"/>
    <cellStyle name="Notas 13" xfId="1267" xr:uid="{00000000-0005-0000-0000-0000F2040000}"/>
    <cellStyle name="Notas 13 10" xfId="1268" xr:uid="{00000000-0005-0000-0000-0000F3040000}"/>
    <cellStyle name="Notas 13 11" xfId="1269" xr:uid="{00000000-0005-0000-0000-0000F4040000}"/>
    <cellStyle name="Notas 13 12" xfId="1270" xr:uid="{00000000-0005-0000-0000-0000F5040000}"/>
    <cellStyle name="Notas 13 13" xfId="1271" xr:uid="{00000000-0005-0000-0000-0000F6040000}"/>
    <cellStyle name="Notas 13 2" xfId="1272" xr:uid="{00000000-0005-0000-0000-0000F7040000}"/>
    <cellStyle name="Notas 13 3" xfId="1273" xr:uid="{00000000-0005-0000-0000-0000F8040000}"/>
    <cellStyle name="Notas 13 4" xfId="1274" xr:uid="{00000000-0005-0000-0000-0000F9040000}"/>
    <cellStyle name="Notas 13 5" xfId="1275" xr:uid="{00000000-0005-0000-0000-0000FA040000}"/>
    <cellStyle name="Notas 13 6" xfId="1276" xr:uid="{00000000-0005-0000-0000-0000FB040000}"/>
    <cellStyle name="Notas 13 7" xfId="1277" xr:uid="{00000000-0005-0000-0000-0000FC040000}"/>
    <cellStyle name="Notas 13 8" xfId="1278" xr:uid="{00000000-0005-0000-0000-0000FD040000}"/>
    <cellStyle name="Notas 13 9" xfId="1279" xr:uid="{00000000-0005-0000-0000-0000FE040000}"/>
    <cellStyle name="Notas 14" xfId="1280" xr:uid="{00000000-0005-0000-0000-0000FF040000}"/>
    <cellStyle name="Notas 14 10" xfId="1281" xr:uid="{00000000-0005-0000-0000-000000050000}"/>
    <cellStyle name="Notas 14 11" xfId="1282" xr:uid="{00000000-0005-0000-0000-000001050000}"/>
    <cellStyle name="Notas 14 12" xfId="1283" xr:uid="{00000000-0005-0000-0000-000002050000}"/>
    <cellStyle name="Notas 14 13" xfId="1284" xr:uid="{00000000-0005-0000-0000-000003050000}"/>
    <cellStyle name="Notas 14 2" xfId="1285" xr:uid="{00000000-0005-0000-0000-000004050000}"/>
    <cellStyle name="Notas 14 3" xfId="1286" xr:uid="{00000000-0005-0000-0000-000005050000}"/>
    <cellStyle name="Notas 14 4" xfId="1287" xr:uid="{00000000-0005-0000-0000-000006050000}"/>
    <cellStyle name="Notas 14 5" xfId="1288" xr:uid="{00000000-0005-0000-0000-000007050000}"/>
    <cellStyle name="Notas 14 6" xfId="1289" xr:uid="{00000000-0005-0000-0000-000008050000}"/>
    <cellStyle name="Notas 14 7" xfId="1290" xr:uid="{00000000-0005-0000-0000-000009050000}"/>
    <cellStyle name="Notas 14 8" xfId="1291" xr:uid="{00000000-0005-0000-0000-00000A050000}"/>
    <cellStyle name="Notas 14 9" xfId="1292" xr:uid="{00000000-0005-0000-0000-00000B050000}"/>
    <cellStyle name="Notas 15" xfId="1293" xr:uid="{00000000-0005-0000-0000-00000C050000}"/>
    <cellStyle name="Notas 15 10" xfId="1294" xr:uid="{00000000-0005-0000-0000-00000D050000}"/>
    <cellStyle name="Notas 15 11" xfId="1295" xr:uid="{00000000-0005-0000-0000-00000E050000}"/>
    <cellStyle name="Notas 15 12" xfId="1296" xr:uid="{00000000-0005-0000-0000-00000F050000}"/>
    <cellStyle name="Notas 15 13" xfId="1297" xr:uid="{00000000-0005-0000-0000-000010050000}"/>
    <cellStyle name="Notas 15 2" xfId="1298" xr:uid="{00000000-0005-0000-0000-000011050000}"/>
    <cellStyle name="Notas 15 3" xfId="1299" xr:uid="{00000000-0005-0000-0000-000012050000}"/>
    <cellStyle name="Notas 15 4" xfId="1300" xr:uid="{00000000-0005-0000-0000-000013050000}"/>
    <cellStyle name="Notas 15 5" xfId="1301" xr:uid="{00000000-0005-0000-0000-000014050000}"/>
    <cellStyle name="Notas 15 6" xfId="1302" xr:uid="{00000000-0005-0000-0000-000015050000}"/>
    <cellStyle name="Notas 15 7" xfId="1303" xr:uid="{00000000-0005-0000-0000-000016050000}"/>
    <cellStyle name="Notas 15 8" xfId="1304" xr:uid="{00000000-0005-0000-0000-000017050000}"/>
    <cellStyle name="Notas 15 9" xfId="1305" xr:uid="{00000000-0005-0000-0000-000018050000}"/>
    <cellStyle name="Notas 16" xfId="1306" xr:uid="{00000000-0005-0000-0000-000019050000}"/>
    <cellStyle name="Notas 16 10" xfId="1307" xr:uid="{00000000-0005-0000-0000-00001A050000}"/>
    <cellStyle name="Notas 16 11" xfId="1308" xr:uid="{00000000-0005-0000-0000-00001B050000}"/>
    <cellStyle name="Notas 16 12" xfId="1309" xr:uid="{00000000-0005-0000-0000-00001C050000}"/>
    <cellStyle name="Notas 16 13" xfId="1310" xr:uid="{00000000-0005-0000-0000-00001D050000}"/>
    <cellStyle name="Notas 16 2" xfId="1311" xr:uid="{00000000-0005-0000-0000-00001E050000}"/>
    <cellStyle name="Notas 16 3" xfId="1312" xr:uid="{00000000-0005-0000-0000-00001F050000}"/>
    <cellStyle name="Notas 16 4" xfId="1313" xr:uid="{00000000-0005-0000-0000-000020050000}"/>
    <cellStyle name="Notas 16 5" xfId="1314" xr:uid="{00000000-0005-0000-0000-000021050000}"/>
    <cellStyle name="Notas 16 6" xfId="1315" xr:uid="{00000000-0005-0000-0000-000022050000}"/>
    <cellStyle name="Notas 16 7" xfId="1316" xr:uid="{00000000-0005-0000-0000-000023050000}"/>
    <cellStyle name="Notas 16 8" xfId="1317" xr:uid="{00000000-0005-0000-0000-000024050000}"/>
    <cellStyle name="Notas 16 9" xfId="1318" xr:uid="{00000000-0005-0000-0000-000025050000}"/>
    <cellStyle name="Notas 17" xfId="1319" xr:uid="{00000000-0005-0000-0000-000026050000}"/>
    <cellStyle name="Notas 17 10" xfId="1320" xr:uid="{00000000-0005-0000-0000-000027050000}"/>
    <cellStyle name="Notas 17 11" xfId="1321" xr:uid="{00000000-0005-0000-0000-000028050000}"/>
    <cellStyle name="Notas 17 12" xfId="1322" xr:uid="{00000000-0005-0000-0000-000029050000}"/>
    <cellStyle name="Notas 17 13" xfId="1323" xr:uid="{00000000-0005-0000-0000-00002A050000}"/>
    <cellStyle name="Notas 17 2" xfId="1324" xr:uid="{00000000-0005-0000-0000-00002B050000}"/>
    <cellStyle name="Notas 17 3" xfId="1325" xr:uid="{00000000-0005-0000-0000-00002C050000}"/>
    <cellStyle name="Notas 17 4" xfId="1326" xr:uid="{00000000-0005-0000-0000-00002D050000}"/>
    <cellStyle name="Notas 17 5" xfId="1327" xr:uid="{00000000-0005-0000-0000-00002E050000}"/>
    <cellStyle name="Notas 17 6" xfId="1328" xr:uid="{00000000-0005-0000-0000-00002F050000}"/>
    <cellStyle name="Notas 17 7" xfId="1329" xr:uid="{00000000-0005-0000-0000-000030050000}"/>
    <cellStyle name="Notas 17 8" xfId="1330" xr:uid="{00000000-0005-0000-0000-000031050000}"/>
    <cellStyle name="Notas 17 9" xfId="1331" xr:uid="{00000000-0005-0000-0000-000032050000}"/>
    <cellStyle name="Notas 18" xfId="1332" xr:uid="{00000000-0005-0000-0000-000033050000}"/>
    <cellStyle name="Notas 18 10" xfId="1333" xr:uid="{00000000-0005-0000-0000-000034050000}"/>
    <cellStyle name="Notas 18 11" xfId="1334" xr:uid="{00000000-0005-0000-0000-000035050000}"/>
    <cellStyle name="Notas 18 12" xfId="1335" xr:uid="{00000000-0005-0000-0000-000036050000}"/>
    <cellStyle name="Notas 18 13" xfId="1336" xr:uid="{00000000-0005-0000-0000-000037050000}"/>
    <cellStyle name="Notas 18 2" xfId="1337" xr:uid="{00000000-0005-0000-0000-000038050000}"/>
    <cellStyle name="Notas 18 3" xfId="1338" xr:uid="{00000000-0005-0000-0000-000039050000}"/>
    <cellStyle name="Notas 18 4" xfId="1339" xr:uid="{00000000-0005-0000-0000-00003A050000}"/>
    <cellStyle name="Notas 18 5" xfId="1340" xr:uid="{00000000-0005-0000-0000-00003B050000}"/>
    <cellStyle name="Notas 18 6" xfId="1341" xr:uid="{00000000-0005-0000-0000-00003C050000}"/>
    <cellStyle name="Notas 18 7" xfId="1342" xr:uid="{00000000-0005-0000-0000-00003D050000}"/>
    <cellStyle name="Notas 18 8" xfId="1343" xr:uid="{00000000-0005-0000-0000-00003E050000}"/>
    <cellStyle name="Notas 18 9" xfId="1344" xr:uid="{00000000-0005-0000-0000-00003F050000}"/>
    <cellStyle name="Notas 19" xfId="1345" xr:uid="{00000000-0005-0000-0000-000040050000}"/>
    <cellStyle name="Notas 19 10" xfId="1346" xr:uid="{00000000-0005-0000-0000-000041050000}"/>
    <cellStyle name="Notas 19 11" xfId="1347" xr:uid="{00000000-0005-0000-0000-000042050000}"/>
    <cellStyle name="Notas 19 12" xfId="1348" xr:uid="{00000000-0005-0000-0000-000043050000}"/>
    <cellStyle name="Notas 19 13" xfId="1349" xr:uid="{00000000-0005-0000-0000-000044050000}"/>
    <cellStyle name="Notas 19 2" xfId="1350" xr:uid="{00000000-0005-0000-0000-000045050000}"/>
    <cellStyle name="Notas 19 3" xfId="1351" xr:uid="{00000000-0005-0000-0000-000046050000}"/>
    <cellStyle name="Notas 19 4" xfId="1352" xr:uid="{00000000-0005-0000-0000-000047050000}"/>
    <cellStyle name="Notas 19 5" xfId="1353" xr:uid="{00000000-0005-0000-0000-000048050000}"/>
    <cellStyle name="Notas 19 6" xfId="1354" xr:uid="{00000000-0005-0000-0000-000049050000}"/>
    <cellStyle name="Notas 19 7" xfId="1355" xr:uid="{00000000-0005-0000-0000-00004A050000}"/>
    <cellStyle name="Notas 19 8" xfId="1356" xr:uid="{00000000-0005-0000-0000-00004B050000}"/>
    <cellStyle name="Notas 19 9" xfId="1357" xr:uid="{00000000-0005-0000-0000-00004C050000}"/>
    <cellStyle name="Notas 2" xfId="1358" xr:uid="{00000000-0005-0000-0000-00004D050000}"/>
    <cellStyle name="Notas 2 2" xfId="1359" xr:uid="{00000000-0005-0000-0000-00004E050000}"/>
    <cellStyle name="Notas 2 3" xfId="1360" xr:uid="{00000000-0005-0000-0000-00004F050000}"/>
    <cellStyle name="Notas 20" xfId="1361" xr:uid="{00000000-0005-0000-0000-000050050000}"/>
    <cellStyle name="Notas 20 10" xfId="1362" xr:uid="{00000000-0005-0000-0000-000051050000}"/>
    <cellStyle name="Notas 20 11" xfId="1363" xr:uid="{00000000-0005-0000-0000-000052050000}"/>
    <cellStyle name="Notas 20 12" xfId="1364" xr:uid="{00000000-0005-0000-0000-000053050000}"/>
    <cellStyle name="Notas 20 13" xfId="1365" xr:uid="{00000000-0005-0000-0000-000054050000}"/>
    <cellStyle name="Notas 20 2" xfId="1366" xr:uid="{00000000-0005-0000-0000-000055050000}"/>
    <cellStyle name="Notas 20 3" xfId="1367" xr:uid="{00000000-0005-0000-0000-000056050000}"/>
    <cellStyle name="Notas 20 4" xfId="1368" xr:uid="{00000000-0005-0000-0000-000057050000}"/>
    <cellStyle name="Notas 20 5" xfId="1369" xr:uid="{00000000-0005-0000-0000-000058050000}"/>
    <cellStyle name="Notas 20 6" xfId="1370" xr:uid="{00000000-0005-0000-0000-000059050000}"/>
    <cellStyle name="Notas 20 7" xfId="1371" xr:uid="{00000000-0005-0000-0000-00005A050000}"/>
    <cellStyle name="Notas 20 8" xfId="1372" xr:uid="{00000000-0005-0000-0000-00005B050000}"/>
    <cellStyle name="Notas 20 9" xfId="1373" xr:uid="{00000000-0005-0000-0000-00005C050000}"/>
    <cellStyle name="Notas 21" xfId="1374" xr:uid="{00000000-0005-0000-0000-00005D050000}"/>
    <cellStyle name="Notas 21 10" xfId="1375" xr:uid="{00000000-0005-0000-0000-00005E050000}"/>
    <cellStyle name="Notas 21 11" xfId="1376" xr:uid="{00000000-0005-0000-0000-00005F050000}"/>
    <cellStyle name="Notas 21 12" xfId="1377" xr:uid="{00000000-0005-0000-0000-000060050000}"/>
    <cellStyle name="Notas 21 13" xfId="1378" xr:uid="{00000000-0005-0000-0000-000061050000}"/>
    <cellStyle name="Notas 21 2" xfId="1379" xr:uid="{00000000-0005-0000-0000-000062050000}"/>
    <cellStyle name="Notas 21 3" xfId="1380" xr:uid="{00000000-0005-0000-0000-000063050000}"/>
    <cellStyle name="Notas 21 4" xfId="1381" xr:uid="{00000000-0005-0000-0000-000064050000}"/>
    <cellStyle name="Notas 21 5" xfId="1382" xr:uid="{00000000-0005-0000-0000-000065050000}"/>
    <cellStyle name="Notas 21 6" xfId="1383" xr:uid="{00000000-0005-0000-0000-000066050000}"/>
    <cellStyle name="Notas 21 7" xfId="1384" xr:uid="{00000000-0005-0000-0000-000067050000}"/>
    <cellStyle name="Notas 21 8" xfId="1385" xr:uid="{00000000-0005-0000-0000-000068050000}"/>
    <cellStyle name="Notas 21 9" xfId="1386" xr:uid="{00000000-0005-0000-0000-000069050000}"/>
    <cellStyle name="Notas 22" xfId="1387" xr:uid="{00000000-0005-0000-0000-00006A050000}"/>
    <cellStyle name="Notas 22 10" xfId="1388" xr:uid="{00000000-0005-0000-0000-00006B050000}"/>
    <cellStyle name="Notas 22 11" xfId="1389" xr:uid="{00000000-0005-0000-0000-00006C050000}"/>
    <cellStyle name="Notas 22 12" xfId="1390" xr:uid="{00000000-0005-0000-0000-00006D050000}"/>
    <cellStyle name="Notas 22 13" xfId="1391" xr:uid="{00000000-0005-0000-0000-00006E050000}"/>
    <cellStyle name="Notas 22 2" xfId="1392" xr:uid="{00000000-0005-0000-0000-00006F050000}"/>
    <cellStyle name="Notas 22 3" xfId="1393" xr:uid="{00000000-0005-0000-0000-000070050000}"/>
    <cellStyle name="Notas 22 4" xfId="1394" xr:uid="{00000000-0005-0000-0000-000071050000}"/>
    <cellStyle name="Notas 22 5" xfId="1395" xr:uid="{00000000-0005-0000-0000-000072050000}"/>
    <cellStyle name="Notas 22 6" xfId="1396" xr:uid="{00000000-0005-0000-0000-000073050000}"/>
    <cellStyle name="Notas 22 7" xfId="1397" xr:uid="{00000000-0005-0000-0000-000074050000}"/>
    <cellStyle name="Notas 22 8" xfId="1398" xr:uid="{00000000-0005-0000-0000-000075050000}"/>
    <cellStyle name="Notas 22 9" xfId="1399" xr:uid="{00000000-0005-0000-0000-000076050000}"/>
    <cellStyle name="Notas 23" xfId="1400" xr:uid="{00000000-0005-0000-0000-000077050000}"/>
    <cellStyle name="Notas 23 10" xfId="1401" xr:uid="{00000000-0005-0000-0000-000078050000}"/>
    <cellStyle name="Notas 23 11" xfId="1402" xr:uid="{00000000-0005-0000-0000-000079050000}"/>
    <cellStyle name="Notas 23 12" xfId="1403" xr:uid="{00000000-0005-0000-0000-00007A050000}"/>
    <cellStyle name="Notas 23 13" xfId="1404" xr:uid="{00000000-0005-0000-0000-00007B050000}"/>
    <cellStyle name="Notas 23 2" xfId="1405" xr:uid="{00000000-0005-0000-0000-00007C050000}"/>
    <cellStyle name="Notas 23 3" xfId="1406" xr:uid="{00000000-0005-0000-0000-00007D050000}"/>
    <cellStyle name="Notas 23 4" xfId="1407" xr:uid="{00000000-0005-0000-0000-00007E050000}"/>
    <cellStyle name="Notas 23 5" xfId="1408" xr:uid="{00000000-0005-0000-0000-00007F050000}"/>
    <cellStyle name="Notas 23 6" xfId="1409" xr:uid="{00000000-0005-0000-0000-000080050000}"/>
    <cellStyle name="Notas 23 7" xfId="1410" xr:uid="{00000000-0005-0000-0000-000081050000}"/>
    <cellStyle name="Notas 23 8" xfId="1411" xr:uid="{00000000-0005-0000-0000-000082050000}"/>
    <cellStyle name="Notas 23 9" xfId="1412" xr:uid="{00000000-0005-0000-0000-000083050000}"/>
    <cellStyle name="Notas 24" xfId="1413" xr:uid="{00000000-0005-0000-0000-000084050000}"/>
    <cellStyle name="Notas 24 10" xfId="1414" xr:uid="{00000000-0005-0000-0000-000085050000}"/>
    <cellStyle name="Notas 24 11" xfId="1415" xr:uid="{00000000-0005-0000-0000-000086050000}"/>
    <cellStyle name="Notas 24 12" xfId="1416" xr:uid="{00000000-0005-0000-0000-000087050000}"/>
    <cellStyle name="Notas 24 13" xfId="1417" xr:uid="{00000000-0005-0000-0000-000088050000}"/>
    <cellStyle name="Notas 24 2" xfId="1418" xr:uid="{00000000-0005-0000-0000-000089050000}"/>
    <cellStyle name="Notas 24 3" xfId="1419" xr:uid="{00000000-0005-0000-0000-00008A050000}"/>
    <cellStyle name="Notas 24 4" xfId="1420" xr:uid="{00000000-0005-0000-0000-00008B050000}"/>
    <cellStyle name="Notas 24 5" xfId="1421" xr:uid="{00000000-0005-0000-0000-00008C050000}"/>
    <cellStyle name="Notas 24 6" xfId="1422" xr:uid="{00000000-0005-0000-0000-00008D050000}"/>
    <cellStyle name="Notas 24 7" xfId="1423" xr:uid="{00000000-0005-0000-0000-00008E050000}"/>
    <cellStyle name="Notas 24 8" xfId="1424" xr:uid="{00000000-0005-0000-0000-00008F050000}"/>
    <cellStyle name="Notas 24 9" xfId="1425" xr:uid="{00000000-0005-0000-0000-000090050000}"/>
    <cellStyle name="Notas 25" xfId="1426" xr:uid="{00000000-0005-0000-0000-000091050000}"/>
    <cellStyle name="Notas 25 10" xfId="1427" xr:uid="{00000000-0005-0000-0000-000092050000}"/>
    <cellStyle name="Notas 25 11" xfId="1428" xr:uid="{00000000-0005-0000-0000-000093050000}"/>
    <cellStyle name="Notas 25 12" xfId="1429" xr:uid="{00000000-0005-0000-0000-000094050000}"/>
    <cellStyle name="Notas 25 13" xfId="1430" xr:uid="{00000000-0005-0000-0000-000095050000}"/>
    <cellStyle name="Notas 25 2" xfId="1431" xr:uid="{00000000-0005-0000-0000-000096050000}"/>
    <cellStyle name="Notas 25 3" xfId="1432" xr:uid="{00000000-0005-0000-0000-000097050000}"/>
    <cellStyle name="Notas 25 4" xfId="1433" xr:uid="{00000000-0005-0000-0000-000098050000}"/>
    <cellStyle name="Notas 25 5" xfId="1434" xr:uid="{00000000-0005-0000-0000-000099050000}"/>
    <cellStyle name="Notas 25 6" xfId="1435" xr:uid="{00000000-0005-0000-0000-00009A050000}"/>
    <cellStyle name="Notas 25 7" xfId="1436" xr:uid="{00000000-0005-0000-0000-00009B050000}"/>
    <cellStyle name="Notas 25 8" xfId="1437" xr:uid="{00000000-0005-0000-0000-00009C050000}"/>
    <cellStyle name="Notas 25 9" xfId="1438" xr:uid="{00000000-0005-0000-0000-00009D050000}"/>
    <cellStyle name="Notas 26" xfId="1439" xr:uid="{00000000-0005-0000-0000-00009E050000}"/>
    <cellStyle name="Notas 26 10" xfId="1440" xr:uid="{00000000-0005-0000-0000-00009F050000}"/>
    <cellStyle name="Notas 26 11" xfId="1441" xr:uid="{00000000-0005-0000-0000-0000A0050000}"/>
    <cellStyle name="Notas 26 12" xfId="1442" xr:uid="{00000000-0005-0000-0000-0000A1050000}"/>
    <cellStyle name="Notas 26 13" xfId="1443" xr:uid="{00000000-0005-0000-0000-0000A2050000}"/>
    <cellStyle name="Notas 26 2" xfId="1444" xr:uid="{00000000-0005-0000-0000-0000A3050000}"/>
    <cellStyle name="Notas 26 3" xfId="1445" xr:uid="{00000000-0005-0000-0000-0000A4050000}"/>
    <cellStyle name="Notas 26 4" xfId="1446" xr:uid="{00000000-0005-0000-0000-0000A5050000}"/>
    <cellStyle name="Notas 26 5" xfId="1447" xr:uid="{00000000-0005-0000-0000-0000A6050000}"/>
    <cellStyle name="Notas 26 6" xfId="1448" xr:uid="{00000000-0005-0000-0000-0000A7050000}"/>
    <cellStyle name="Notas 26 7" xfId="1449" xr:uid="{00000000-0005-0000-0000-0000A8050000}"/>
    <cellStyle name="Notas 26 8" xfId="1450" xr:uid="{00000000-0005-0000-0000-0000A9050000}"/>
    <cellStyle name="Notas 26 9" xfId="1451" xr:uid="{00000000-0005-0000-0000-0000AA050000}"/>
    <cellStyle name="Notas 27" xfId="1452" xr:uid="{00000000-0005-0000-0000-0000AB050000}"/>
    <cellStyle name="Notas 27 10" xfId="1453" xr:uid="{00000000-0005-0000-0000-0000AC050000}"/>
    <cellStyle name="Notas 27 11" xfId="1454" xr:uid="{00000000-0005-0000-0000-0000AD050000}"/>
    <cellStyle name="Notas 27 12" xfId="1455" xr:uid="{00000000-0005-0000-0000-0000AE050000}"/>
    <cellStyle name="Notas 27 13" xfId="1456" xr:uid="{00000000-0005-0000-0000-0000AF050000}"/>
    <cellStyle name="Notas 27 2" xfId="1457" xr:uid="{00000000-0005-0000-0000-0000B0050000}"/>
    <cellStyle name="Notas 27 3" xfId="1458" xr:uid="{00000000-0005-0000-0000-0000B1050000}"/>
    <cellStyle name="Notas 27 4" xfId="1459" xr:uid="{00000000-0005-0000-0000-0000B2050000}"/>
    <cellStyle name="Notas 27 5" xfId="1460" xr:uid="{00000000-0005-0000-0000-0000B3050000}"/>
    <cellStyle name="Notas 27 6" xfId="1461" xr:uid="{00000000-0005-0000-0000-0000B4050000}"/>
    <cellStyle name="Notas 27 7" xfId="1462" xr:uid="{00000000-0005-0000-0000-0000B5050000}"/>
    <cellStyle name="Notas 27 8" xfId="1463" xr:uid="{00000000-0005-0000-0000-0000B6050000}"/>
    <cellStyle name="Notas 27 9" xfId="1464" xr:uid="{00000000-0005-0000-0000-0000B7050000}"/>
    <cellStyle name="Notas 28" xfId="1465" xr:uid="{00000000-0005-0000-0000-0000B8050000}"/>
    <cellStyle name="Notas 28 10" xfId="1466" xr:uid="{00000000-0005-0000-0000-0000B9050000}"/>
    <cellStyle name="Notas 28 11" xfId="1467" xr:uid="{00000000-0005-0000-0000-0000BA050000}"/>
    <cellStyle name="Notas 28 12" xfId="1468" xr:uid="{00000000-0005-0000-0000-0000BB050000}"/>
    <cellStyle name="Notas 28 13" xfId="1469" xr:uid="{00000000-0005-0000-0000-0000BC050000}"/>
    <cellStyle name="Notas 28 2" xfId="1470" xr:uid="{00000000-0005-0000-0000-0000BD050000}"/>
    <cellStyle name="Notas 28 3" xfId="1471" xr:uid="{00000000-0005-0000-0000-0000BE050000}"/>
    <cellStyle name="Notas 28 4" xfId="1472" xr:uid="{00000000-0005-0000-0000-0000BF050000}"/>
    <cellStyle name="Notas 28 5" xfId="1473" xr:uid="{00000000-0005-0000-0000-0000C0050000}"/>
    <cellStyle name="Notas 28 6" xfId="1474" xr:uid="{00000000-0005-0000-0000-0000C1050000}"/>
    <cellStyle name="Notas 28 7" xfId="1475" xr:uid="{00000000-0005-0000-0000-0000C2050000}"/>
    <cellStyle name="Notas 28 8" xfId="1476" xr:uid="{00000000-0005-0000-0000-0000C3050000}"/>
    <cellStyle name="Notas 28 9" xfId="1477" xr:uid="{00000000-0005-0000-0000-0000C4050000}"/>
    <cellStyle name="Notas 29" xfId="1478" xr:uid="{00000000-0005-0000-0000-0000C5050000}"/>
    <cellStyle name="Notas 29 10" xfId="1479" xr:uid="{00000000-0005-0000-0000-0000C6050000}"/>
    <cellStyle name="Notas 29 11" xfId="1480" xr:uid="{00000000-0005-0000-0000-0000C7050000}"/>
    <cellStyle name="Notas 29 12" xfId="1481" xr:uid="{00000000-0005-0000-0000-0000C8050000}"/>
    <cellStyle name="Notas 29 13" xfId="1482" xr:uid="{00000000-0005-0000-0000-0000C9050000}"/>
    <cellStyle name="Notas 29 2" xfId="1483" xr:uid="{00000000-0005-0000-0000-0000CA050000}"/>
    <cellStyle name="Notas 29 3" xfId="1484" xr:uid="{00000000-0005-0000-0000-0000CB050000}"/>
    <cellStyle name="Notas 29 4" xfId="1485" xr:uid="{00000000-0005-0000-0000-0000CC050000}"/>
    <cellStyle name="Notas 29 5" xfId="1486" xr:uid="{00000000-0005-0000-0000-0000CD050000}"/>
    <cellStyle name="Notas 29 6" xfId="1487" xr:uid="{00000000-0005-0000-0000-0000CE050000}"/>
    <cellStyle name="Notas 29 7" xfId="1488" xr:uid="{00000000-0005-0000-0000-0000CF050000}"/>
    <cellStyle name="Notas 29 8" xfId="1489" xr:uid="{00000000-0005-0000-0000-0000D0050000}"/>
    <cellStyle name="Notas 29 9" xfId="1490" xr:uid="{00000000-0005-0000-0000-0000D1050000}"/>
    <cellStyle name="Notas 3" xfId="1491" xr:uid="{00000000-0005-0000-0000-0000D2050000}"/>
    <cellStyle name="Notas 3 2" xfId="1492" xr:uid="{00000000-0005-0000-0000-0000D3050000}"/>
    <cellStyle name="Notas 30" xfId="1493" xr:uid="{00000000-0005-0000-0000-0000D4050000}"/>
    <cellStyle name="Notas 30 10" xfId="1494" xr:uid="{00000000-0005-0000-0000-0000D5050000}"/>
    <cellStyle name="Notas 30 11" xfId="1495" xr:uid="{00000000-0005-0000-0000-0000D6050000}"/>
    <cellStyle name="Notas 30 12" xfId="1496" xr:uid="{00000000-0005-0000-0000-0000D7050000}"/>
    <cellStyle name="Notas 30 13" xfId="1497" xr:uid="{00000000-0005-0000-0000-0000D8050000}"/>
    <cellStyle name="Notas 30 2" xfId="1498" xr:uid="{00000000-0005-0000-0000-0000D9050000}"/>
    <cellStyle name="Notas 30 3" xfId="1499" xr:uid="{00000000-0005-0000-0000-0000DA050000}"/>
    <cellStyle name="Notas 30 4" xfId="1500" xr:uid="{00000000-0005-0000-0000-0000DB050000}"/>
    <cellStyle name="Notas 30 5" xfId="1501" xr:uid="{00000000-0005-0000-0000-0000DC050000}"/>
    <cellStyle name="Notas 30 6" xfId="1502" xr:uid="{00000000-0005-0000-0000-0000DD050000}"/>
    <cellStyle name="Notas 30 7" xfId="1503" xr:uid="{00000000-0005-0000-0000-0000DE050000}"/>
    <cellStyle name="Notas 30 8" xfId="1504" xr:uid="{00000000-0005-0000-0000-0000DF050000}"/>
    <cellStyle name="Notas 30 9" xfId="1505" xr:uid="{00000000-0005-0000-0000-0000E0050000}"/>
    <cellStyle name="Notas 31" xfId="1506" xr:uid="{00000000-0005-0000-0000-0000E1050000}"/>
    <cellStyle name="Notas 31 10" xfId="1507" xr:uid="{00000000-0005-0000-0000-0000E2050000}"/>
    <cellStyle name="Notas 31 11" xfId="1508" xr:uid="{00000000-0005-0000-0000-0000E3050000}"/>
    <cellStyle name="Notas 31 12" xfId="1509" xr:uid="{00000000-0005-0000-0000-0000E4050000}"/>
    <cellStyle name="Notas 31 13" xfId="1510" xr:uid="{00000000-0005-0000-0000-0000E5050000}"/>
    <cellStyle name="Notas 31 2" xfId="1511" xr:uid="{00000000-0005-0000-0000-0000E6050000}"/>
    <cellStyle name="Notas 31 3" xfId="1512" xr:uid="{00000000-0005-0000-0000-0000E7050000}"/>
    <cellStyle name="Notas 31 4" xfId="1513" xr:uid="{00000000-0005-0000-0000-0000E8050000}"/>
    <cellStyle name="Notas 31 5" xfId="1514" xr:uid="{00000000-0005-0000-0000-0000E9050000}"/>
    <cellStyle name="Notas 31 6" xfId="1515" xr:uid="{00000000-0005-0000-0000-0000EA050000}"/>
    <cellStyle name="Notas 31 7" xfId="1516" xr:uid="{00000000-0005-0000-0000-0000EB050000}"/>
    <cellStyle name="Notas 31 8" xfId="1517" xr:uid="{00000000-0005-0000-0000-0000EC050000}"/>
    <cellStyle name="Notas 31 9" xfId="1518" xr:uid="{00000000-0005-0000-0000-0000ED050000}"/>
    <cellStyle name="Notas 32" xfId="1519" xr:uid="{00000000-0005-0000-0000-0000EE050000}"/>
    <cellStyle name="Notas 32 10" xfId="1520" xr:uid="{00000000-0005-0000-0000-0000EF050000}"/>
    <cellStyle name="Notas 32 11" xfId="1521" xr:uid="{00000000-0005-0000-0000-0000F0050000}"/>
    <cellStyle name="Notas 32 12" xfId="1522" xr:uid="{00000000-0005-0000-0000-0000F1050000}"/>
    <cellStyle name="Notas 32 2" xfId="1523" xr:uid="{00000000-0005-0000-0000-0000F2050000}"/>
    <cellStyle name="Notas 32 3" xfId="1524" xr:uid="{00000000-0005-0000-0000-0000F3050000}"/>
    <cellStyle name="Notas 32 4" xfId="1525" xr:uid="{00000000-0005-0000-0000-0000F4050000}"/>
    <cellStyle name="Notas 32 5" xfId="1526" xr:uid="{00000000-0005-0000-0000-0000F5050000}"/>
    <cellStyle name="Notas 32 6" xfId="1527" xr:uid="{00000000-0005-0000-0000-0000F6050000}"/>
    <cellStyle name="Notas 32 7" xfId="1528" xr:uid="{00000000-0005-0000-0000-0000F7050000}"/>
    <cellStyle name="Notas 32 8" xfId="1529" xr:uid="{00000000-0005-0000-0000-0000F8050000}"/>
    <cellStyle name="Notas 32 9" xfId="1530" xr:uid="{00000000-0005-0000-0000-0000F9050000}"/>
    <cellStyle name="Notas 33" xfId="1531" xr:uid="{00000000-0005-0000-0000-0000FA050000}"/>
    <cellStyle name="Notas 33 10" xfId="1532" xr:uid="{00000000-0005-0000-0000-0000FB050000}"/>
    <cellStyle name="Notas 33 11" xfId="1533" xr:uid="{00000000-0005-0000-0000-0000FC050000}"/>
    <cellStyle name="Notas 33 12" xfId="1534" xr:uid="{00000000-0005-0000-0000-0000FD050000}"/>
    <cellStyle name="Notas 33 2" xfId="1535" xr:uid="{00000000-0005-0000-0000-0000FE050000}"/>
    <cellStyle name="Notas 33 3" xfId="1536" xr:uid="{00000000-0005-0000-0000-0000FF050000}"/>
    <cellStyle name="Notas 33 4" xfId="1537" xr:uid="{00000000-0005-0000-0000-000000060000}"/>
    <cellStyle name="Notas 33 5" xfId="1538" xr:uid="{00000000-0005-0000-0000-000001060000}"/>
    <cellStyle name="Notas 33 6" xfId="1539" xr:uid="{00000000-0005-0000-0000-000002060000}"/>
    <cellStyle name="Notas 33 7" xfId="1540" xr:uid="{00000000-0005-0000-0000-000003060000}"/>
    <cellStyle name="Notas 33 8" xfId="1541" xr:uid="{00000000-0005-0000-0000-000004060000}"/>
    <cellStyle name="Notas 33 9" xfId="1542" xr:uid="{00000000-0005-0000-0000-000005060000}"/>
    <cellStyle name="Notas 34" xfId="1543" xr:uid="{00000000-0005-0000-0000-000006060000}"/>
    <cellStyle name="Notas 34 10" xfId="1544" xr:uid="{00000000-0005-0000-0000-000007060000}"/>
    <cellStyle name="Notas 34 11" xfId="1545" xr:uid="{00000000-0005-0000-0000-000008060000}"/>
    <cellStyle name="Notas 34 12" xfId="1546" xr:uid="{00000000-0005-0000-0000-000009060000}"/>
    <cellStyle name="Notas 34 2" xfId="1547" xr:uid="{00000000-0005-0000-0000-00000A060000}"/>
    <cellStyle name="Notas 34 3" xfId="1548" xr:uid="{00000000-0005-0000-0000-00000B060000}"/>
    <cellStyle name="Notas 34 4" xfId="1549" xr:uid="{00000000-0005-0000-0000-00000C060000}"/>
    <cellStyle name="Notas 34 5" xfId="1550" xr:uid="{00000000-0005-0000-0000-00000D060000}"/>
    <cellStyle name="Notas 34 6" xfId="1551" xr:uid="{00000000-0005-0000-0000-00000E060000}"/>
    <cellStyle name="Notas 34 7" xfId="1552" xr:uid="{00000000-0005-0000-0000-00000F060000}"/>
    <cellStyle name="Notas 34 8" xfId="1553" xr:uid="{00000000-0005-0000-0000-000010060000}"/>
    <cellStyle name="Notas 34 9" xfId="1554" xr:uid="{00000000-0005-0000-0000-000011060000}"/>
    <cellStyle name="Notas 35" xfId="1555" xr:uid="{00000000-0005-0000-0000-000012060000}"/>
    <cellStyle name="Notas 35 10" xfId="1556" xr:uid="{00000000-0005-0000-0000-000013060000}"/>
    <cellStyle name="Notas 35 11" xfId="1557" xr:uid="{00000000-0005-0000-0000-000014060000}"/>
    <cellStyle name="Notas 35 12" xfId="1558" xr:uid="{00000000-0005-0000-0000-000015060000}"/>
    <cellStyle name="Notas 35 2" xfId="1559" xr:uid="{00000000-0005-0000-0000-000016060000}"/>
    <cellStyle name="Notas 35 3" xfId="1560" xr:uid="{00000000-0005-0000-0000-000017060000}"/>
    <cellStyle name="Notas 35 4" xfId="1561" xr:uid="{00000000-0005-0000-0000-000018060000}"/>
    <cellStyle name="Notas 35 5" xfId="1562" xr:uid="{00000000-0005-0000-0000-000019060000}"/>
    <cellStyle name="Notas 35 6" xfId="1563" xr:uid="{00000000-0005-0000-0000-00001A060000}"/>
    <cellStyle name="Notas 35 7" xfId="1564" xr:uid="{00000000-0005-0000-0000-00001B060000}"/>
    <cellStyle name="Notas 35 8" xfId="1565" xr:uid="{00000000-0005-0000-0000-00001C060000}"/>
    <cellStyle name="Notas 35 9" xfId="1566" xr:uid="{00000000-0005-0000-0000-00001D060000}"/>
    <cellStyle name="Notas 36" xfId="1567" xr:uid="{00000000-0005-0000-0000-00001E060000}"/>
    <cellStyle name="Notas 36 10" xfId="1568" xr:uid="{00000000-0005-0000-0000-00001F060000}"/>
    <cellStyle name="Notas 36 11" xfId="1569" xr:uid="{00000000-0005-0000-0000-000020060000}"/>
    <cellStyle name="Notas 36 12" xfId="1570" xr:uid="{00000000-0005-0000-0000-000021060000}"/>
    <cellStyle name="Notas 36 2" xfId="1571" xr:uid="{00000000-0005-0000-0000-000022060000}"/>
    <cellStyle name="Notas 36 3" xfId="1572" xr:uid="{00000000-0005-0000-0000-000023060000}"/>
    <cellStyle name="Notas 36 4" xfId="1573" xr:uid="{00000000-0005-0000-0000-000024060000}"/>
    <cellStyle name="Notas 36 5" xfId="1574" xr:uid="{00000000-0005-0000-0000-000025060000}"/>
    <cellStyle name="Notas 36 6" xfId="1575" xr:uid="{00000000-0005-0000-0000-000026060000}"/>
    <cellStyle name="Notas 36 7" xfId="1576" xr:uid="{00000000-0005-0000-0000-000027060000}"/>
    <cellStyle name="Notas 36 8" xfId="1577" xr:uid="{00000000-0005-0000-0000-000028060000}"/>
    <cellStyle name="Notas 36 9" xfId="1578" xr:uid="{00000000-0005-0000-0000-000029060000}"/>
    <cellStyle name="Notas 37" xfId="1579" xr:uid="{00000000-0005-0000-0000-00002A060000}"/>
    <cellStyle name="Notas 37 10" xfId="1580" xr:uid="{00000000-0005-0000-0000-00002B060000}"/>
    <cellStyle name="Notas 37 11" xfId="1581" xr:uid="{00000000-0005-0000-0000-00002C060000}"/>
    <cellStyle name="Notas 37 12" xfId="1582" xr:uid="{00000000-0005-0000-0000-00002D060000}"/>
    <cellStyle name="Notas 37 2" xfId="1583" xr:uid="{00000000-0005-0000-0000-00002E060000}"/>
    <cellStyle name="Notas 37 3" xfId="1584" xr:uid="{00000000-0005-0000-0000-00002F060000}"/>
    <cellStyle name="Notas 37 4" xfId="1585" xr:uid="{00000000-0005-0000-0000-000030060000}"/>
    <cellStyle name="Notas 37 5" xfId="1586" xr:uid="{00000000-0005-0000-0000-000031060000}"/>
    <cellStyle name="Notas 37 6" xfId="1587" xr:uid="{00000000-0005-0000-0000-000032060000}"/>
    <cellStyle name="Notas 37 7" xfId="1588" xr:uid="{00000000-0005-0000-0000-000033060000}"/>
    <cellStyle name="Notas 37 8" xfId="1589" xr:uid="{00000000-0005-0000-0000-000034060000}"/>
    <cellStyle name="Notas 37 9" xfId="1590" xr:uid="{00000000-0005-0000-0000-000035060000}"/>
    <cellStyle name="Notas 38" xfId="1591" xr:uid="{00000000-0005-0000-0000-000036060000}"/>
    <cellStyle name="Notas 38 10" xfId="1592" xr:uid="{00000000-0005-0000-0000-000037060000}"/>
    <cellStyle name="Notas 38 11" xfId="1593" xr:uid="{00000000-0005-0000-0000-000038060000}"/>
    <cellStyle name="Notas 38 12" xfId="1594" xr:uid="{00000000-0005-0000-0000-000039060000}"/>
    <cellStyle name="Notas 38 2" xfId="1595" xr:uid="{00000000-0005-0000-0000-00003A060000}"/>
    <cellStyle name="Notas 38 3" xfId="1596" xr:uid="{00000000-0005-0000-0000-00003B060000}"/>
    <cellStyle name="Notas 38 4" xfId="1597" xr:uid="{00000000-0005-0000-0000-00003C060000}"/>
    <cellStyle name="Notas 38 5" xfId="1598" xr:uid="{00000000-0005-0000-0000-00003D060000}"/>
    <cellStyle name="Notas 38 6" xfId="1599" xr:uid="{00000000-0005-0000-0000-00003E060000}"/>
    <cellStyle name="Notas 38 7" xfId="1600" xr:uid="{00000000-0005-0000-0000-00003F060000}"/>
    <cellStyle name="Notas 38 8" xfId="1601" xr:uid="{00000000-0005-0000-0000-000040060000}"/>
    <cellStyle name="Notas 38 9" xfId="1602" xr:uid="{00000000-0005-0000-0000-000041060000}"/>
    <cellStyle name="Notas 39" xfId="1603" xr:uid="{00000000-0005-0000-0000-000042060000}"/>
    <cellStyle name="Notas 39 10" xfId="1604" xr:uid="{00000000-0005-0000-0000-000043060000}"/>
    <cellStyle name="Notas 39 11" xfId="1605" xr:uid="{00000000-0005-0000-0000-000044060000}"/>
    <cellStyle name="Notas 39 12" xfId="1606" xr:uid="{00000000-0005-0000-0000-000045060000}"/>
    <cellStyle name="Notas 39 2" xfId="1607" xr:uid="{00000000-0005-0000-0000-000046060000}"/>
    <cellStyle name="Notas 39 3" xfId="1608" xr:uid="{00000000-0005-0000-0000-000047060000}"/>
    <cellStyle name="Notas 39 4" xfId="1609" xr:uid="{00000000-0005-0000-0000-000048060000}"/>
    <cellStyle name="Notas 39 5" xfId="1610" xr:uid="{00000000-0005-0000-0000-000049060000}"/>
    <cellStyle name="Notas 39 6" xfId="1611" xr:uid="{00000000-0005-0000-0000-00004A060000}"/>
    <cellStyle name="Notas 39 7" xfId="1612" xr:uid="{00000000-0005-0000-0000-00004B060000}"/>
    <cellStyle name="Notas 39 8" xfId="1613" xr:uid="{00000000-0005-0000-0000-00004C060000}"/>
    <cellStyle name="Notas 39 9" xfId="1614" xr:uid="{00000000-0005-0000-0000-00004D060000}"/>
    <cellStyle name="Notas 4" xfId="1615" xr:uid="{00000000-0005-0000-0000-00004E060000}"/>
    <cellStyle name="Notas 4 10" xfId="1616" xr:uid="{00000000-0005-0000-0000-00004F060000}"/>
    <cellStyle name="Notas 4 11" xfId="1617" xr:uid="{00000000-0005-0000-0000-000050060000}"/>
    <cellStyle name="Notas 4 12" xfId="1618" xr:uid="{00000000-0005-0000-0000-000051060000}"/>
    <cellStyle name="Notas 4 13" xfId="1619" xr:uid="{00000000-0005-0000-0000-000052060000}"/>
    <cellStyle name="Notas 4 14" xfId="1620" xr:uid="{00000000-0005-0000-0000-000053060000}"/>
    <cellStyle name="Notas 4 15" xfId="1621" xr:uid="{00000000-0005-0000-0000-000054060000}"/>
    <cellStyle name="Notas 4 2" xfId="1622" xr:uid="{00000000-0005-0000-0000-000055060000}"/>
    <cellStyle name="Notas 4 3" xfId="1623" xr:uid="{00000000-0005-0000-0000-000056060000}"/>
    <cellStyle name="Notas 4 4" xfId="1624" xr:uid="{00000000-0005-0000-0000-000057060000}"/>
    <cellStyle name="Notas 4 5" xfId="1625" xr:uid="{00000000-0005-0000-0000-000058060000}"/>
    <cellStyle name="Notas 4 6" xfId="1626" xr:uid="{00000000-0005-0000-0000-000059060000}"/>
    <cellStyle name="Notas 4 7" xfId="1627" xr:uid="{00000000-0005-0000-0000-00005A060000}"/>
    <cellStyle name="Notas 4 8" xfId="1628" xr:uid="{00000000-0005-0000-0000-00005B060000}"/>
    <cellStyle name="Notas 4 9" xfId="1629" xr:uid="{00000000-0005-0000-0000-00005C060000}"/>
    <cellStyle name="Notas 40" xfId="1630" xr:uid="{00000000-0005-0000-0000-00005D060000}"/>
    <cellStyle name="Notas 40 10" xfId="1631" xr:uid="{00000000-0005-0000-0000-00005E060000}"/>
    <cellStyle name="Notas 40 11" xfId="1632" xr:uid="{00000000-0005-0000-0000-00005F060000}"/>
    <cellStyle name="Notas 40 12" xfId="1633" xr:uid="{00000000-0005-0000-0000-000060060000}"/>
    <cellStyle name="Notas 40 2" xfId="1634" xr:uid="{00000000-0005-0000-0000-000061060000}"/>
    <cellStyle name="Notas 40 3" xfId="1635" xr:uid="{00000000-0005-0000-0000-000062060000}"/>
    <cellStyle name="Notas 40 4" xfId="1636" xr:uid="{00000000-0005-0000-0000-000063060000}"/>
    <cellStyle name="Notas 40 5" xfId="1637" xr:uid="{00000000-0005-0000-0000-000064060000}"/>
    <cellStyle name="Notas 40 6" xfId="1638" xr:uid="{00000000-0005-0000-0000-000065060000}"/>
    <cellStyle name="Notas 40 7" xfId="1639" xr:uid="{00000000-0005-0000-0000-000066060000}"/>
    <cellStyle name="Notas 40 8" xfId="1640" xr:uid="{00000000-0005-0000-0000-000067060000}"/>
    <cellStyle name="Notas 40 9" xfId="1641" xr:uid="{00000000-0005-0000-0000-000068060000}"/>
    <cellStyle name="Notas 41" xfId="1642" xr:uid="{00000000-0005-0000-0000-000069060000}"/>
    <cellStyle name="Notas 41 10" xfId="1643" xr:uid="{00000000-0005-0000-0000-00006A060000}"/>
    <cellStyle name="Notas 41 11" xfId="1644" xr:uid="{00000000-0005-0000-0000-00006B060000}"/>
    <cellStyle name="Notas 41 2" xfId="1645" xr:uid="{00000000-0005-0000-0000-00006C060000}"/>
    <cellStyle name="Notas 41 3" xfId="1646" xr:uid="{00000000-0005-0000-0000-00006D060000}"/>
    <cellStyle name="Notas 41 4" xfId="1647" xr:uid="{00000000-0005-0000-0000-00006E060000}"/>
    <cellStyle name="Notas 41 5" xfId="1648" xr:uid="{00000000-0005-0000-0000-00006F060000}"/>
    <cellStyle name="Notas 41 6" xfId="1649" xr:uid="{00000000-0005-0000-0000-000070060000}"/>
    <cellStyle name="Notas 41 7" xfId="1650" xr:uid="{00000000-0005-0000-0000-000071060000}"/>
    <cellStyle name="Notas 41 8" xfId="1651" xr:uid="{00000000-0005-0000-0000-000072060000}"/>
    <cellStyle name="Notas 41 9" xfId="1652" xr:uid="{00000000-0005-0000-0000-000073060000}"/>
    <cellStyle name="Notas 42" xfId="1653" xr:uid="{00000000-0005-0000-0000-000074060000}"/>
    <cellStyle name="Notas 42 10" xfId="1654" xr:uid="{00000000-0005-0000-0000-000075060000}"/>
    <cellStyle name="Notas 42 11" xfId="1655" xr:uid="{00000000-0005-0000-0000-000076060000}"/>
    <cellStyle name="Notas 42 2" xfId="1656" xr:uid="{00000000-0005-0000-0000-000077060000}"/>
    <cellStyle name="Notas 42 3" xfId="1657" xr:uid="{00000000-0005-0000-0000-000078060000}"/>
    <cellStyle name="Notas 42 4" xfId="1658" xr:uid="{00000000-0005-0000-0000-000079060000}"/>
    <cellStyle name="Notas 42 5" xfId="1659" xr:uid="{00000000-0005-0000-0000-00007A060000}"/>
    <cellStyle name="Notas 42 6" xfId="1660" xr:uid="{00000000-0005-0000-0000-00007B060000}"/>
    <cellStyle name="Notas 42 7" xfId="1661" xr:uid="{00000000-0005-0000-0000-00007C060000}"/>
    <cellStyle name="Notas 42 8" xfId="1662" xr:uid="{00000000-0005-0000-0000-00007D060000}"/>
    <cellStyle name="Notas 42 9" xfId="1663" xr:uid="{00000000-0005-0000-0000-00007E060000}"/>
    <cellStyle name="Notas 43" xfId="1664" xr:uid="{00000000-0005-0000-0000-00007F060000}"/>
    <cellStyle name="Notas 43 10" xfId="1665" xr:uid="{00000000-0005-0000-0000-000080060000}"/>
    <cellStyle name="Notas 43 11" xfId="1666" xr:uid="{00000000-0005-0000-0000-000081060000}"/>
    <cellStyle name="Notas 43 2" xfId="1667" xr:uid="{00000000-0005-0000-0000-000082060000}"/>
    <cellStyle name="Notas 43 3" xfId="1668" xr:uid="{00000000-0005-0000-0000-000083060000}"/>
    <cellStyle name="Notas 43 4" xfId="1669" xr:uid="{00000000-0005-0000-0000-000084060000}"/>
    <cellStyle name="Notas 43 5" xfId="1670" xr:uid="{00000000-0005-0000-0000-000085060000}"/>
    <cellStyle name="Notas 43 6" xfId="1671" xr:uid="{00000000-0005-0000-0000-000086060000}"/>
    <cellStyle name="Notas 43 7" xfId="1672" xr:uid="{00000000-0005-0000-0000-000087060000}"/>
    <cellStyle name="Notas 43 8" xfId="1673" xr:uid="{00000000-0005-0000-0000-000088060000}"/>
    <cellStyle name="Notas 43 9" xfId="1674" xr:uid="{00000000-0005-0000-0000-000089060000}"/>
    <cellStyle name="Notas 44" xfId="1675" xr:uid="{00000000-0005-0000-0000-00008A060000}"/>
    <cellStyle name="Notas 44 2" xfId="1676" xr:uid="{00000000-0005-0000-0000-00008B060000}"/>
    <cellStyle name="Notas 44 3" xfId="1677" xr:uid="{00000000-0005-0000-0000-00008C060000}"/>
    <cellStyle name="Notas 44 4" xfId="1678" xr:uid="{00000000-0005-0000-0000-00008D060000}"/>
    <cellStyle name="Notas 44 5" xfId="1679" xr:uid="{00000000-0005-0000-0000-00008E060000}"/>
    <cellStyle name="Notas 44 6" xfId="1680" xr:uid="{00000000-0005-0000-0000-00008F060000}"/>
    <cellStyle name="Notas 44 7" xfId="1681" xr:uid="{00000000-0005-0000-0000-000090060000}"/>
    <cellStyle name="Notas 45" xfId="1682" xr:uid="{00000000-0005-0000-0000-000091060000}"/>
    <cellStyle name="Notas 45 2" xfId="1683" xr:uid="{00000000-0005-0000-0000-000092060000}"/>
    <cellStyle name="Notas 45 3" xfId="1684" xr:uid="{00000000-0005-0000-0000-000093060000}"/>
    <cellStyle name="Notas 45 4" xfId="1685" xr:uid="{00000000-0005-0000-0000-000094060000}"/>
    <cellStyle name="Notas 45 5" xfId="1686" xr:uid="{00000000-0005-0000-0000-000095060000}"/>
    <cellStyle name="Notas 45 6" xfId="1687" xr:uid="{00000000-0005-0000-0000-000096060000}"/>
    <cellStyle name="Notas 45 7" xfId="1688" xr:uid="{00000000-0005-0000-0000-000097060000}"/>
    <cellStyle name="Notas 46" xfId="1689" xr:uid="{00000000-0005-0000-0000-000098060000}"/>
    <cellStyle name="Notas 46 2" xfId="1690" xr:uid="{00000000-0005-0000-0000-000099060000}"/>
    <cellStyle name="Notas 46 3" xfId="1691" xr:uid="{00000000-0005-0000-0000-00009A060000}"/>
    <cellStyle name="Notas 46 4" xfId="1692" xr:uid="{00000000-0005-0000-0000-00009B060000}"/>
    <cellStyle name="Notas 46 5" xfId="1693" xr:uid="{00000000-0005-0000-0000-00009C060000}"/>
    <cellStyle name="Notas 46 6" xfId="1694" xr:uid="{00000000-0005-0000-0000-00009D060000}"/>
    <cellStyle name="Notas 46 7" xfId="1695" xr:uid="{00000000-0005-0000-0000-00009E060000}"/>
    <cellStyle name="Notas 47" xfId="1696" xr:uid="{00000000-0005-0000-0000-00009F060000}"/>
    <cellStyle name="Notas 47 2" xfId="1697" xr:uid="{00000000-0005-0000-0000-0000A0060000}"/>
    <cellStyle name="Notas 47 3" xfId="1698" xr:uid="{00000000-0005-0000-0000-0000A1060000}"/>
    <cellStyle name="Notas 47 4" xfId="1699" xr:uid="{00000000-0005-0000-0000-0000A2060000}"/>
    <cellStyle name="Notas 48" xfId="1700" xr:uid="{00000000-0005-0000-0000-0000A3060000}"/>
    <cellStyle name="Notas 48 2" xfId="1701" xr:uid="{00000000-0005-0000-0000-0000A4060000}"/>
    <cellStyle name="Notas 48 3" xfId="1702" xr:uid="{00000000-0005-0000-0000-0000A5060000}"/>
    <cellStyle name="Notas 48 4" xfId="1703" xr:uid="{00000000-0005-0000-0000-0000A6060000}"/>
    <cellStyle name="Notas 49" xfId="1704" xr:uid="{00000000-0005-0000-0000-0000A7060000}"/>
    <cellStyle name="Notas 49 2" xfId="1705" xr:uid="{00000000-0005-0000-0000-0000A8060000}"/>
    <cellStyle name="Notas 49 3" xfId="1706" xr:uid="{00000000-0005-0000-0000-0000A9060000}"/>
    <cellStyle name="Notas 49 4" xfId="1707" xr:uid="{00000000-0005-0000-0000-0000AA060000}"/>
    <cellStyle name="Notas 5" xfId="1708" xr:uid="{00000000-0005-0000-0000-0000AB060000}"/>
    <cellStyle name="Notas 5 10" xfId="1709" xr:uid="{00000000-0005-0000-0000-0000AC060000}"/>
    <cellStyle name="Notas 5 11" xfId="1710" xr:uid="{00000000-0005-0000-0000-0000AD060000}"/>
    <cellStyle name="Notas 5 12" xfId="1711" xr:uid="{00000000-0005-0000-0000-0000AE060000}"/>
    <cellStyle name="Notas 5 13" xfId="1712" xr:uid="{00000000-0005-0000-0000-0000AF060000}"/>
    <cellStyle name="Notas 5 14" xfId="1713" xr:uid="{00000000-0005-0000-0000-0000B0060000}"/>
    <cellStyle name="Notas 5 15" xfId="1714" xr:uid="{00000000-0005-0000-0000-0000B1060000}"/>
    <cellStyle name="Notas 5 2" xfId="1715" xr:uid="{00000000-0005-0000-0000-0000B2060000}"/>
    <cellStyle name="Notas 5 3" xfId="1716" xr:uid="{00000000-0005-0000-0000-0000B3060000}"/>
    <cellStyle name="Notas 5 4" xfId="1717" xr:uid="{00000000-0005-0000-0000-0000B4060000}"/>
    <cellStyle name="Notas 5 5" xfId="1718" xr:uid="{00000000-0005-0000-0000-0000B5060000}"/>
    <cellStyle name="Notas 5 6" xfId="1719" xr:uid="{00000000-0005-0000-0000-0000B6060000}"/>
    <cellStyle name="Notas 5 7" xfId="1720" xr:uid="{00000000-0005-0000-0000-0000B7060000}"/>
    <cellStyle name="Notas 5 8" xfId="1721" xr:uid="{00000000-0005-0000-0000-0000B8060000}"/>
    <cellStyle name="Notas 5 9" xfId="1722" xr:uid="{00000000-0005-0000-0000-0000B9060000}"/>
    <cellStyle name="Notas 50" xfId="1723" xr:uid="{00000000-0005-0000-0000-0000BA060000}"/>
    <cellStyle name="Notas 50 2" xfId="1724" xr:uid="{00000000-0005-0000-0000-0000BB060000}"/>
    <cellStyle name="Notas 50 3" xfId="1725" xr:uid="{00000000-0005-0000-0000-0000BC060000}"/>
    <cellStyle name="Notas 50 4" xfId="1726" xr:uid="{00000000-0005-0000-0000-0000BD060000}"/>
    <cellStyle name="Notas 51" xfId="1727" xr:uid="{00000000-0005-0000-0000-0000BE060000}"/>
    <cellStyle name="Notas 51 2" xfId="1728" xr:uid="{00000000-0005-0000-0000-0000BF060000}"/>
    <cellStyle name="Notas 51 3" xfId="1729" xr:uid="{00000000-0005-0000-0000-0000C0060000}"/>
    <cellStyle name="Notas 51 4" xfId="1730" xr:uid="{00000000-0005-0000-0000-0000C1060000}"/>
    <cellStyle name="Notas 52" xfId="1731" xr:uid="{00000000-0005-0000-0000-0000C2060000}"/>
    <cellStyle name="Notas 52 2" xfId="1732" xr:uid="{00000000-0005-0000-0000-0000C3060000}"/>
    <cellStyle name="Notas 52 3" xfId="1733" xr:uid="{00000000-0005-0000-0000-0000C4060000}"/>
    <cellStyle name="Notas 52 4" xfId="1734" xr:uid="{00000000-0005-0000-0000-0000C5060000}"/>
    <cellStyle name="Notas 53" xfId="1735" xr:uid="{00000000-0005-0000-0000-0000C6060000}"/>
    <cellStyle name="Notas 53 2" xfId="1736" xr:uid="{00000000-0005-0000-0000-0000C7060000}"/>
    <cellStyle name="Notas 53 3" xfId="1737" xr:uid="{00000000-0005-0000-0000-0000C8060000}"/>
    <cellStyle name="Notas 53 4" xfId="1738" xr:uid="{00000000-0005-0000-0000-0000C9060000}"/>
    <cellStyle name="Notas 54" xfId="1739" xr:uid="{00000000-0005-0000-0000-0000CA060000}"/>
    <cellStyle name="Notas 54 2" xfId="1740" xr:uid="{00000000-0005-0000-0000-0000CB060000}"/>
    <cellStyle name="Notas 54 3" xfId="1741" xr:uid="{00000000-0005-0000-0000-0000CC060000}"/>
    <cellStyle name="Notas 54 4" xfId="1742" xr:uid="{00000000-0005-0000-0000-0000CD060000}"/>
    <cellStyle name="Notas 55" xfId="1743" xr:uid="{00000000-0005-0000-0000-0000CE060000}"/>
    <cellStyle name="Notas 55 2" xfId="1744" xr:uid="{00000000-0005-0000-0000-0000CF060000}"/>
    <cellStyle name="Notas 55 3" xfId="1745" xr:uid="{00000000-0005-0000-0000-0000D0060000}"/>
    <cellStyle name="Notas 55 4" xfId="1746" xr:uid="{00000000-0005-0000-0000-0000D1060000}"/>
    <cellStyle name="Notas 56" xfId="1747" xr:uid="{00000000-0005-0000-0000-0000D2060000}"/>
    <cellStyle name="Notas 56 2" xfId="1748" xr:uid="{00000000-0005-0000-0000-0000D3060000}"/>
    <cellStyle name="Notas 56 3" xfId="1749" xr:uid="{00000000-0005-0000-0000-0000D4060000}"/>
    <cellStyle name="Notas 56 4" xfId="1750" xr:uid="{00000000-0005-0000-0000-0000D5060000}"/>
    <cellStyle name="Notas 57" xfId="1751" xr:uid="{00000000-0005-0000-0000-0000D6060000}"/>
    <cellStyle name="Notas 57 2" xfId="1752" xr:uid="{00000000-0005-0000-0000-0000D7060000}"/>
    <cellStyle name="Notas 57 3" xfId="1753" xr:uid="{00000000-0005-0000-0000-0000D8060000}"/>
    <cellStyle name="Notas 57 4" xfId="1754" xr:uid="{00000000-0005-0000-0000-0000D9060000}"/>
    <cellStyle name="Notas 58" xfId="1755" xr:uid="{00000000-0005-0000-0000-0000DA060000}"/>
    <cellStyle name="Notas 58 2" xfId="1756" xr:uid="{00000000-0005-0000-0000-0000DB060000}"/>
    <cellStyle name="Notas 58 3" xfId="1757" xr:uid="{00000000-0005-0000-0000-0000DC060000}"/>
    <cellStyle name="Notas 58 4" xfId="1758" xr:uid="{00000000-0005-0000-0000-0000DD060000}"/>
    <cellStyle name="Notas 59" xfId="1759" xr:uid="{00000000-0005-0000-0000-0000DE060000}"/>
    <cellStyle name="Notas 59 2" xfId="1760" xr:uid="{00000000-0005-0000-0000-0000DF060000}"/>
    <cellStyle name="Notas 59 3" xfId="1761" xr:uid="{00000000-0005-0000-0000-0000E0060000}"/>
    <cellStyle name="Notas 6" xfId="1762" xr:uid="{00000000-0005-0000-0000-0000E1060000}"/>
    <cellStyle name="Notas 6 10" xfId="1763" xr:uid="{00000000-0005-0000-0000-0000E2060000}"/>
    <cellStyle name="Notas 6 11" xfId="1764" xr:uid="{00000000-0005-0000-0000-0000E3060000}"/>
    <cellStyle name="Notas 6 12" xfId="1765" xr:uid="{00000000-0005-0000-0000-0000E4060000}"/>
    <cellStyle name="Notas 6 13" xfId="1766" xr:uid="{00000000-0005-0000-0000-0000E5060000}"/>
    <cellStyle name="Notas 6 2" xfId="1767" xr:uid="{00000000-0005-0000-0000-0000E6060000}"/>
    <cellStyle name="Notas 6 3" xfId="1768" xr:uid="{00000000-0005-0000-0000-0000E7060000}"/>
    <cellStyle name="Notas 6 4" xfId="1769" xr:uid="{00000000-0005-0000-0000-0000E8060000}"/>
    <cellStyle name="Notas 6 5" xfId="1770" xr:uid="{00000000-0005-0000-0000-0000E9060000}"/>
    <cellStyle name="Notas 6 6" xfId="1771" xr:uid="{00000000-0005-0000-0000-0000EA060000}"/>
    <cellStyle name="Notas 6 7" xfId="1772" xr:uid="{00000000-0005-0000-0000-0000EB060000}"/>
    <cellStyle name="Notas 6 8" xfId="1773" xr:uid="{00000000-0005-0000-0000-0000EC060000}"/>
    <cellStyle name="Notas 6 9" xfId="1774" xr:uid="{00000000-0005-0000-0000-0000ED060000}"/>
    <cellStyle name="Notas 60" xfId="1775" xr:uid="{00000000-0005-0000-0000-0000EE060000}"/>
    <cellStyle name="Notas 60 2" xfId="1776" xr:uid="{00000000-0005-0000-0000-0000EF060000}"/>
    <cellStyle name="Notas 60 3" xfId="1777" xr:uid="{00000000-0005-0000-0000-0000F0060000}"/>
    <cellStyle name="Notas 7" xfId="1778" xr:uid="{00000000-0005-0000-0000-0000F1060000}"/>
    <cellStyle name="Notas 7 10" xfId="1779" xr:uid="{00000000-0005-0000-0000-0000F2060000}"/>
    <cellStyle name="Notas 7 11" xfId="1780" xr:uid="{00000000-0005-0000-0000-0000F3060000}"/>
    <cellStyle name="Notas 7 12" xfId="1781" xr:uid="{00000000-0005-0000-0000-0000F4060000}"/>
    <cellStyle name="Notas 7 13" xfId="1782" xr:uid="{00000000-0005-0000-0000-0000F5060000}"/>
    <cellStyle name="Notas 7 2" xfId="1783" xr:uid="{00000000-0005-0000-0000-0000F6060000}"/>
    <cellStyle name="Notas 7 3" xfId="1784" xr:uid="{00000000-0005-0000-0000-0000F7060000}"/>
    <cellStyle name="Notas 7 4" xfId="1785" xr:uid="{00000000-0005-0000-0000-0000F8060000}"/>
    <cellStyle name="Notas 7 5" xfId="1786" xr:uid="{00000000-0005-0000-0000-0000F9060000}"/>
    <cellStyle name="Notas 7 6" xfId="1787" xr:uid="{00000000-0005-0000-0000-0000FA060000}"/>
    <cellStyle name="Notas 7 7" xfId="1788" xr:uid="{00000000-0005-0000-0000-0000FB060000}"/>
    <cellStyle name="Notas 7 8" xfId="1789" xr:uid="{00000000-0005-0000-0000-0000FC060000}"/>
    <cellStyle name="Notas 7 9" xfId="1790" xr:uid="{00000000-0005-0000-0000-0000FD060000}"/>
    <cellStyle name="Notas 8" xfId="1791" xr:uid="{00000000-0005-0000-0000-0000FE060000}"/>
    <cellStyle name="Notas 8 10" xfId="1792" xr:uid="{00000000-0005-0000-0000-0000FF060000}"/>
    <cellStyle name="Notas 8 11" xfId="1793" xr:uid="{00000000-0005-0000-0000-000000070000}"/>
    <cellStyle name="Notas 8 12" xfId="1794" xr:uid="{00000000-0005-0000-0000-000001070000}"/>
    <cellStyle name="Notas 8 13" xfId="1795" xr:uid="{00000000-0005-0000-0000-000002070000}"/>
    <cellStyle name="Notas 8 2" xfId="1796" xr:uid="{00000000-0005-0000-0000-000003070000}"/>
    <cellStyle name="Notas 8 3" xfId="1797" xr:uid="{00000000-0005-0000-0000-000004070000}"/>
    <cellStyle name="Notas 8 4" xfId="1798" xr:uid="{00000000-0005-0000-0000-000005070000}"/>
    <cellStyle name="Notas 8 5" xfId="1799" xr:uid="{00000000-0005-0000-0000-000006070000}"/>
    <cellStyle name="Notas 8 6" xfId="1800" xr:uid="{00000000-0005-0000-0000-000007070000}"/>
    <cellStyle name="Notas 8 7" xfId="1801" xr:uid="{00000000-0005-0000-0000-000008070000}"/>
    <cellStyle name="Notas 8 8" xfId="1802" xr:uid="{00000000-0005-0000-0000-000009070000}"/>
    <cellStyle name="Notas 8 9" xfId="1803" xr:uid="{00000000-0005-0000-0000-00000A070000}"/>
    <cellStyle name="Notas 9" xfId="1804" xr:uid="{00000000-0005-0000-0000-00000B070000}"/>
    <cellStyle name="Notas 9 10" xfId="1805" xr:uid="{00000000-0005-0000-0000-00000C070000}"/>
    <cellStyle name="Notas 9 11" xfId="1806" xr:uid="{00000000-0005-0000-0000-00000D070000}"/>
    <cellStyle name="Notas 9 12" xfId="1807" xr:uid="{00000000-0005-0000-0000-00000E070000}"/>
    <cellStyle name="Notas 9 13" xfId="1808" xr:uid="{00000000-0005-0000-0000-00000F070000}"/>
    <cellStyle name="Notas 9 2" xfId="1809" xr:uid="{00000000-0005-0000-0000-000010070000}"/>
    <cellStyle name="Notas 9 3" xfId="1810" xr:uid="{00000000-0005-0000-0000-000011070000}"/>
    <cellStyle name="Notas 9 4" xfId="1811" xr:uid="{00000000-0005-0000-0000-000012070000}"/>
    <cellStyle name="Notas 9 5" xfId="1812" xr:uid="{00000000-0005-0000-0000-000013070000}"/>
    <cellStyle name="Notas 9 6" xfId="1813" xr:uid="{00000000-0005-0000-0000-000014070000}"/>
    <cellStyle name="Notas 9 7" xfId="1814" xr:uid="{00000000-0005-0000-0000-000015070000}"/>
    <cellStyle name="Notas 9 8" xfId="1815" xr:uid="{00000000-0005-0000-0000-000016070000}"/>
    <cellStyle name="Notas 9 9" xfId="1816" xr:uid="{00000000-0005-0000-0000-000017070000}"/>
    <cellStyle name="Output" xfId="1817" xr:uid="{00000000-0005-0000-0000-000018070000}"/>
    <cellStyle name="Output 2" xfId="1818" xr:uid="{00000000-0005-0000-0000-000019070000}"/>
    <cellStyle name="Porcentaje" xfId="3" builtinId="5"/>
    <cellStyle name="Porcentaje 2" xfId="1819" xr:uid="{00000000-0005-0000-0000-00001B070000}"/>
    <cellStyle name="Porcentaje 2 2" xfId="1820" xr:uid="{00000000-0005-0000-0000-00001C070000}"/>
    <cellStyle name="Porcentaje 2 3" xfId="1821" xr:uid="{00000000-0005-0000-0000-00001D070000}"/>
    <cellStyle name="Porcentaje 3" xfId="1822" xr:uid="{00000000-0005-0000-0000-00001E070000}"/>
    <cellStyle name="Porcentaje 3 2" xfId="1823" xr:uid="{00000000-0005-0000-0000-00001F070000}"/>
    <cellStyle name="Porcentaje 3 3" xfId="1824" xr:uid="{00000000-0005-0000-0000-000020070000}"/>
    <cellStyle name="Porcentaje 4" xfId="1825" xr:uid="{00000000-0005-0000-0000-000021070000}"/>
    <cellStyle name="Porcentaje 4 2" xfId="1826" xr:uid="{00000000-0005-0000-0000-000022070000}"/>
    <cellStyle name="Porcentaje 5" xfId="1827" xr:uid="{00000000-0005-0000-0000-000023070000}"/>
    <cellStyle name="Porcentaje 5 2" xfId="1828" xr:uid="{00000000-0005-0000-0000-000024070000}"/>
    <cellStyle name="Porcentual 2" xfId="1829" xr:uid="{00000000-0005-0000-0000-000025070000}"/>
    <cellStyle name="Porcentual 2 2" xfId="1830" xr:uid="{00000000-0005-0000-0000-000026070000}"/>
    <cellStyle name="Porcentual 3" xfId="1831" xr:uid="{00000000-0005-0000-0000-000027070000}"/>
    <cellStyle name="Porcentual 3 2" xfId="1832" xr:uid="{00000000-0005-0000-0000-000028070000}"/>
    <cellStyle name="Porcentual 4" xfId="1833" xr:uid="{00000000-0005-0000-0000-000029070000}"/>
    <cellStyle name="Porcentual 4 2" xfId="1834" xr:uid="{00000000-0005-0000-0000-00002A070000}"/>
    <cellStyle name="Porcentual 5" xfId="1835" xr:uid="{00000000-0005-0000-0000-00002B070000}"/>
    <cellStyle name="Porcentual 5 2" xfId="1836" xr:uid="{00000000-0005-0000-0000-00002C070000}"/>
    <cellStyle name="Porcentual 6" xfId="1837" xr:uid="{00000000-0005-0000-0000-00002D070000}"/>
    <cellStyle name="Porcentual 6 2" xfId="1838" xr:uid="{00000000-0005-0000-0000-00002E070000}"/>
    <cellStyle name="Salida 2" xfId="1839" xr:uid="{00000000-0005-0000-0000-00002F070000}"/>
    <cellStyle name="Sheet Title" xfId="1840" xr:uid="{00000000-0005-0000-0000-000030070000}"/>
    <cellStyle name="TableStyleLight1" xfId="1841" xr:uid="{00000000-0005-0000-0000-000031070000}"/>
    <cellStyle name="Text" xfId="1842" xr:uid="{00000000-0005-0000-0000-000032070000}"/>
    <cellStyle name="Text 2" xfId="1843" xr:uid="{00000000-0005-0000-0000-000033070000}"/>
    <cellStyle name="Texto de advertencia 2" xfId="1844" xr:uid="{00000000-0005-0000-0000-000034070000}"/>
    <cellStyle name="Texto explicativo 2" xfId="1845" xr:uid="{00000000-0005-0000-0000-000035070000}"/>
    <cellStyle name="Título 1 2" xfId="1846" xr:uid="{00000000-0005-0000-0000-000036070000}"/>
    <cellStyle name="Título 2 2" xfId="1847" xr:uid="{00000000-0005-0000-0000-000037070000}"/>
    <cellStyle name="Título 3 2" xfId="1848" xr:uid="{00000000-0005-0000-0000-000038070000}"/>
    <cellStyle name="Título 4" xfId="1849" xr:uid="{00000000-0005-0000-0000-000039070000}"/>
    <cellStyle name="Total 2" xfId="1850" xr:uid="{00000000-0005-0000-0000-00003A070000}"/>
    <cellStyle name="Warning Text 2" xfId="1851" xr:uid="{00000000-0005-0000-0000-00003B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32"/>
  <sheetViews>
    <sheetView tabSelected="1" topLeftCell="B1" workbookViewId="0">
      <pane xSplit="4" ySplit="5" topLeftCell="F114" activePane="bottomRight" state="frozen"/>
      <selection activeCell="B1" sqref="B1"/>
      <selection pane="topRight" activeCell="D1" sqref="D1"/>
      <selection pane="bottomLeft" activeCell="B10" sqref="B10"/>
      <selection pane="bottomRight" activeCell="I123" sqref="I123"/>
    </sheetView>
  </sheetViews>
  <sheetFormatPr baseColWidth="10" defaultColWidth="11.42578125" defaultRowHeight="15" x14ac:dyDescent="0.25"/>
  <cols>
    <col min="1" max="1" width="1.5703125" customWidth="1"/>
    <col min="2" max="2" width="6" style="1" customWidth="1"/>
    <col min="3" max="3" width="6" style="2" hidden="1" customWidth="1"/>
    <col min="4" max="4" width="19.85546875" style="42" customWidth="1"/>
    <col min="5" max="5" width="33.28515625" customWidth="1"/>
    <col min="6" max="6" width="12.42578125" customWidth="1"/>
    <col min="7" max="7" width="13.85546875" customWidth="1"/>
    <col min="8" max="8" width="14" customWidth="1"/>
    <col min="9" max="9" width="14.140625" customWidth="1"/>
    <col min="10" max="10" width="13.28515625" customWidth="1"/>
    <col min="11" max="11" width="10.7109375" customWidth="1"/>
    <col min="12" max="12" width="11.7109375" customWidth="1"/>
    <col min="13" max="13" width="13.42578125" style="41" customWidth="1"/>
    <col min="14" max="14" width="5.85546875" customWidth="1"/>
    <col min="15" max="15" width="7" customWidth="1"/>
    <col min="16" max="16" width="18.85546875" customWidth="1"/>
    <col min="17" max="17" width="6" customWidth="1"/>
  </cols>
  <sheetData>
    <row r="1" spans="2:19" ht="21.75" customHeight="1" x14ac:dyDescent="0.25">
      <c r="D1" s="99" t="s">
        <v>0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9" ht="18" customHeight="1" x14ac:dyDescent="0.25">
      <c r="D2" s="99" t="s">
        <v>1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9" ht="18" x14ac:dyDescent="0.25">
      <c r="D3" s="99" t="s">
        <v>503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9" s="4" customFormat="1" ht="23.25" customHeight="1" x14ac:dyDescent="0.25">
      <c r="B4" s="89" t="s">
        <v>2</v>
      </c>
      <c r="C4" s="3"/>
      <c r="D4" s="90" t="s">
        <v>3</v>
      </c>
      <c r="E4" s="91" t="s">
        <v>4</v>
      </c>
      <c r="F4" s="92" t="s">
        <v>5</v>
      </c>
      <c r="G4" s="94" t="s">
        <v>6</v>
      </c>
      <c r="H4" s="95"/>
      <c r="I4" s="95"/>
      <c r="J4" s="96"/>
      <c r="K4" s="100" t="s">
        <v>7</v>
      </c>
      <c r="L4" s="100" t="s">
        <v>8</v>
      </c>
      <c r="M4" s="97" t="s">
        <v>9</v>
      </c>
      <c r="N4" s="91" t="s">
        <v>10</v>
      </c>
      <c r="O4" s="91"/>
      <c r="P4" s="91" t="s">
        <v>11</v>
      </c>
    </row>
    <row r="5" spans="2:19" s="4" customFormat="1" ht="21" customHeight="1" x14ac:dyDescent="0.25">
      <c r="B5" s="89"/>
      <c r="C5" s="3"/>
      <c r="D5" s="90"/>
      <c r="E5" s="91"/>
      <c r="F5" s="93"/>
      <c r="G5" s="5" t="s">
        <v>12</v>
      </c>
      <c r="H5" s="5" t="s">
        <v>13</v>
      </c>
      <c r="I5" s="6" t="s">
        <v>14</v>
      </c>
      <c r="J5" s="6" t="s">
        <v>15</v>
      </c>
      <c r="K5" s="101"/>
      <c r="L5" s="101"/>
      <c r="M5" s="98"/>
      <c r="N5" s="7" t="s">
        <v>16</v>
      </c>
      <c r="O5" s="7" t="s">
        <v>17</v>
      </c>
      <c r="P5" s="91"/>
    </row>
    <row r="6" spans="2:19" s="18" customFormat="1" ht="24" x14ac:dyDescent="0.25">
      <c r="B6" s="8">
        <v>1</v>
      </c>
      <c r="C6" s="9"/>
      <c r="D6" s="10" t="s">
        <v>18</v>
      </c>
      <c r="E6" s="11" t="s">
        <v>19</v>
      </c>
      <c r="F6" s="12" t="s">
        <v>20</v>
      </c>
      <c r="G6" s="13">
        <f t="shared" ref="G6:G50" si="0">SUM(H6:J6)</f>
        <v>6114039.6699999999</v>
      </c>
      <c r="H6" s="14">
        <v>3004039.67</v>
      </c>
      <c r="I6" s="14">
        <v>3110000</v>
      </c>
      <c r="J6" s="14"/>
      <c r="K6" s="15">
        <v>42467</v>
      </c>
      <c r="L6" s="15">
        <v>42947</v>
      </c>
      <c r="M6" s="38">
        <v>3110000</v>
      </c>
      <c r="N6" s="16">
        <v>1</v>
      </c>
      <c r="O6" s="16">
        <f>+M6/I6</f>
        <v>1</v>
      </c>
      <c r="P6" s="17" t="s">
        <v>21</v>
      </c>
      <c r="S6" s="86"/>
    </row>
    <row r="7" spans="2:19" s="18" customFormat="1" ht="24" x14ac:dyDescent="0.25">
      <c r="B7" s="8">
        <f>+B6+1</f>
        <v>2</v>
      </c>
      <c r="C7" s="9"/>
      <c r="D7" s="10" t="s">
        <v>22</v>
      </c>
      <c r="E7" s="11" t="s">
        <v>23</v>
      </c>
      <c r="F7" s="12" t="s">
        <v>24</v>
      </c>
      <c r="G7" s="13">
        <f t="shared" si="0"/>
        <v>3231059.1799999997</v>
      </c>
      <c r="H7" s="14">
        <v>1339212.92</v>
      </c>
      <c r="I7" s="14">
        <v>1891846.26</v>
      </c>
      <c r="J7" s="14"/>
      <c r="K7" s="15">
        <v>42517</v>
      </c>
      <c r="L7" s="15">
        <v>42666</v>
      </c>
      <c r="M7" s="38">
        <v>1891846.26</v>
      </c>
      <c r="N7" s="16">
        <v>1</v>
      </c>
      <c r="O7" s="16">
        <f t="shared" ref="O7:O70" si="1">+M7/I7</f>
        <v>1</v>
      </c>
      <c r="P7" s="17" t="s">
        <v>21</v>
      </c>
      <c r="S7" s="86"/>
    </row>
    <row r="8" spans="2:19" s="18" customFormat="1" ht="24" x14ac:dyDescent="0.25">
      <c r="B8" s="8">
        <f t="shared" ref="B8:B71" si="2">+B7+1</f>
        <v>3</v>
      </c>
      <c r="C8" s="9"/>
      <c r="D8" s="10" t="s">
        <v>25</v>
      </c>
      <c r="E8" s="11" t="s">
        <v>26</v>
      </c>
      <c r="F8" s="19" t="s">
        <v>27</v>
      </c>
      <c r="G8" s="13">
        <f t="shared" si="0"/>
        <v>3279743.1399999997</v>
      </c>
      <c r="H8" s="14">
        <v>1951114.14</v>
      </c>
      <c r="I8" s="14">
        <v>1328629</v>
      </c>
      <c r="J8" s="14"/>
      <c r="K8" s="15">
        <v>42492</v>
      </c>
      <c r="L8" s="15">
        <v>42674</v>
      </c>
      <c r="M8" s="38">
        <v>1328629</v>
      </c>
      <c r="N8" s="16">
        <v>1</v>
      </c>
      <c r="O8" s="16">
        <f t="shared" si="1"/>
        <v>1</v>
      </c>
      <c r="P8" s="17" t="s">
        <v>21</v>
      </c>
      <c r="S8" s="86"/>
    </row>
    <row r="9" spans="2:19" s="18" customFormat="1" ht="24" x14ac:dyDescent="0.25">
      <c r="B9" s="8">
        <f t="shared" si="2"/>
        <v>4</v>
      </c>
      <c r="C9" s="9"/>
      <c r="D9" s="10" t="s">
        <v>28</v>
      </c>
      <c r="E9" s="11" t="s">
        <v>29</v>
      </c>
      <c r="F9" s="12" t="s">
        <v>30</v>
      </c>
      <c r="G9" s="13">
        <f t="shared" si="0"/>
        <v>3641170.83</v>
      </c>
      <c r="H9" s="14">
        <v>1714705.75</v>
      </c>
      <c r="I9" s="14">
        <v>1926465.08</v>
      </c>
      <c r="J9" s="14"/>
      <c r="K9" s="15">
        <v>42492</v>
      </c>
      <c r="L9" s="15">
        <v>42656</v>
      </c>
      <c r="M9" s="38">
        <v>1926465.08</v>
      </c>
      <c r="N9" s="16">
        <v>1</v>
      </c>
      <c r="O9" s="16">
        <f t="shared" si="1"/>
        <v>1</v>
      </c>
      <c r="P9" s="17" t="s">
        <v>21</v>
      </c>
      <c r="S9" s="86"/>
    </row>
    <row r="10" spans="2:19" s="18" customFormat="1" ht="36" x14ac:dyDescent="0.25">
      <c r="B10" s="8">
        <f t="shared" si="2"/>
        <v>5</v>
      </c>
      <c r="C10" s="9"/>
      <c r="D10" s="10" t="s">
        <v>31</v>
      </c>
      <c r="E10" s="11" t="s">
        <v>32</v>
      </c>
      <c r="F10" s="12" t="s">
        <v>33</v>
      </c>
      <c r="G10" s="13">
        <f t="shared" si="0"/>
        <v>548067.72</v>
      </c>
      <c r="H10" s="14">
        <v>274035.36</v>
      </c>
      <c r="I10" s="14">
        <v>274032.36</v>
      </c>
      <c r="J10" s="14"/>
      <c r="K10" s="15">
        <v>42706</v>
      </c>
      <c r="L10" s="15">
        <v>42810</v>
      </c>
      <c r="M10" s="38">
        <v>273663.94000000006</v>
      </c>
      <c r="N10" s="16">
        <v>1</v>
      </c>
      <c r="O10" s="16">
        <f t="shared" si="1"/>
        <v>0.99865556024113389</v>
      </c>
      <c r="P10" s="17" t="s">
        <v>34</v>
      </c>
      <c r="S10" s="86"/>
    </row>
    <row r="11" spans="2:19" s="18" customFormat="1" ht="24" x14ac:dyDescent="0.25">
      <c r="B11" s="8">
        <f t="shared" si="2"/>
        <v>6</v>
      </c>
      <c r="C11" s="9"/>
      <c r="D11" s="10" t="s">
        <v>35</v>
      </c>
      <c r="E11" s="11" t="s">
        <v>36</v>
      </c>
      <c r="F11" s="12" t="s">
        <v>20</v>
      </c>
      <c r="G11" s="13">
        <f t="shared" si="0"/>
        <v>1589812.48</v>
      </c>
      <c r="H11" s="14">
        <v>794906.24</v>
      </c>
      <c r="I11" s="14">
        <v>794906.24</v>
      </c>
      <c r="J11" s="14"/>
      <c r="K11" s="15">
        <v>42705</v>
      </c>
      <c r="L11" s="15">
        <v>42846</v>
      </c>
      <c r="M11" s="38">
        <v>794906.24</v>
      </c>
      <c r="N11" s="16">
        <v>1</v>
      </c>
      <c r="O11" s="16">
        <f t="shared" si="1"/>
        <v>1</v>
      </c>
      <c r="P11" s="17" t="s">
        <v>21</v>
      </c>
      <c r="S11" s="86"/>
    </row>
    <row r="12" spans="2:19" s="18" customFormat="1" ht="24" x14ac:dyDescent="0.25">
      <c r="B12" s="8">
        <f t="shared" si="2"/>
        <v>7</v>
      </c>
      <c r="C12" s="9"/>
      <c r="D12" s="10" t="s">
        <v>37</v>
      </c>
      <c r="E12" s="11" t="s">
        <v>38</v>
      </c>
      <c r="F12" s="12" t="s">
        <v>39</v>
      </c>
      <c r="G12" s="13">
        <f t="shared" si="0"/>
        <v>1674556.69</v>
      </c>
      <c r="H12" s="14">
        <v>814688.7</v>
      </c>
      <c r="I12" s="14">
        <v>859867.99</v>
      </c>
      <c r="J12" s="14"/>
      <c r="K12" s="15">
        <v>42705</v>
      </c>
      <c r="L12" s="15">
        <v>42824</v>
      </c>
      <c r="M12" s="38">
        <v>859867.99</v>
      </c>
      <c r="N12" s="16">
        <v>1</v>
      </c>
      <c r="O12" s="16">
        <f t="shared" si="1"/>
        <v>1</v>
      </c>
      <c r="P12" s="17" t="s">
        <v>21</v>
      </c>
      <c r="S12" s="86"/>
    </row>
    <row r="13" spans="2:19" s="18" customFormat="1" ht="36" x14ac:dyDescent="0.25">
      <c r="B13" s="8">
        <f t="shared" si="2"/>
        <v>8</v>
      </c>
      <c r="C13" s="9"/>
      <c r="D13" s="10" t="s">
        <v>40</v>
      </c>
      <c r="E13" s="11" t="s">
        <v>41</v>
      </c>
      <c r="F13" s="12" t="s">
        <v>20</v>
      </c>
      <c r="G13" s="13">
        <f t="shared" si="0"/>
        <v>2030904.58</v>
      </c>
      <c r="H13" s="14">
        <v>419991.07</v>
      </c>
      <c r="I13" s="14">
        <v>1610913.51</v>
      </c>
      <c r="J13" s="14"/>
      <c r="K13" s="15">
        <v>42705</v>
      </c>
      <c r="L13" s="15">
        <v>42824</v>
      </c>
      <c r="M13" s="38">
        <v>1610913.5099999998</v>
      </c>
      <c r="N13" s="16">
        <v>1</v>
      </c>
      <c r="O13" s="16">
        <f t="shared" si="1"/>
        <v>0.99999999999999989</v>
      </c>
      <c r="P13" s="17" t="s">
        <v>21</v>
      </c>
      <c r="S13" s="86"/>
    </row>
    <row r="14" spans="2:19" s="18" customFormat="1" ht="36" x14ac:dyDescent="0.25">
      <c r="B14" s="8">
        <f t="shared" si="2"/>
        <v>9</v>
      </c>
      <c r="C14" s="9"/>
      <c r="D14" s="10" t="s">
        <v>42</v>
      </c>
      <c r="E14" s="11" t="s">
        <v>43</v>
      </c>
      <c r="F14" s="12" t="s">
        <v>44</v>
      </c>
      <c r="G14" s="13">
        <f t="shared" si="0"/>
        <v>4962870.2299999995</v>
      </c>
      <c r="H14" s="14">
        <f>2486426.04-4990.93</f>
        <v>2481435.11</v>
      </c>
      <c r="I14" s="14">
        <f>2486426.05-4990.93</f>
        <v>2481435.1199999996</v>
      </c>
      <c r="J14" s="14"/>
      <c r="K14" s="15">
        <v>42705</v>
      </c>
      <c r="L14" s="15" t="s">
        <v>45</v>
      </c>
      <c r="M14" s="38">
        <v>2171968.5</v>
      </c>
      <c r="N14" s="16">
        <v>0.85</v>
      </c>
      <c r="O14" s="16">
        <f t="shared" si="1"/>
        <v>0.87528724103816191</v>
      </c>
      <c r="P14" s="17" t="s">
        <v>21</v>
      </c>
      <c r="S14" s="86"/>
    </row>
    <row r="15" spans="2:19" s="18" customFormat="1" ht="36" x14ac:dyDescent="0.25">
      <c r="B15" s="8">
        <f t="shared" si="2"/>
        <v>10</v>
      </c>
      <c r="C15" s="9"/>
      <c r="D15" s="10" t="s">
        <v>46</v>
      </c>
      <c r="E15" s="11" t="s">
        <v>47</v>
      </c>
      <c r="F15" s="12" t="s">
        <v>24</v>
      </c>
      <c r="G15" s="13">
        <f t="shared" si="0"/>
        <v>6722097.4700000007</v>
      </c>
      <c r="H15" s="14">
        <v>3361048.73</v>
      </c>
      <c r="I15" s="14">
        <v>3361048.74</v>
      </c>
      <c r="J15" s="14"/>
      <c r="K15" s="15">
        <v>42705</v>
      </c>
      <c r="L15" s="15">
        <v>42890</v>
      </c>
      <c r="M15" s="38">
        <v>3361048.74</v>
      </c>
      <c r="N15" s="16">
        <v>1</v>
      </c>
      <c r="O15" s="16">
        <f t="shared" si="1"/>
        <v>1</v>
      </c>
      <c r="P15" s="17" t="s">
        <v>21</v>
      </c>
      <c r="S15" s="86"/>
    </row>
    <row r="16" spans="2:19" s="18" customFormat="1" ht="24" x14ac:dyDescent="0.25">
      <c r="B16" s="8">
        <f t="shared" si="2"/>
        <v>11</v>
      </c>
      <c r="C16" s="9"/>
      <c r="D16" s="10" t="s">
        <v>48</v>
      </c>
      <c r="E16" s="11" t="s">
        <v>49</v>
      </c>
      <c r="F16" s="12" t="s">
        <v>20</v>
      </c>
      <c r="G16" s="13">
        <f t="shared" si="0"/>
        <v>4217788.29</v>
      </c>
      <c r="H16" s="14">
        <v>2108894.14</v>
      </c>
      <c r="I16" s="14">
        <v>2108894.15</v>
      </c>
      <c r="J16" s="14"/>
      <c r="K16" s="15">
        <v>42705</v>
      </c>
      <c r="L16" s="15">
        <v>42948</v>
      </c>
      <c r="M16" s="38">
        <v>1688609.2300000002</v>
      </c>
      <c r="N16" s="16">
        <v>0.78</v>
      </c>
      <c r="O16" s="16">
        <f t="shared" si="1"/>
        <v>0.80070838548250522</v>
      </c>
      <c r="P16" s="17" t="s">
        <v>21</v>
      </c>
      <c r="S16" s="86"/>
    </row>
    <row r="17" spans="2:19" s="18" customFormat="1" ht="36" x14ac:dyDescent="0.25">
      <c r="B17" s="8">
        <f t="shared" si="2"/>
        <v>12</v>
      </c>
      <c r="C17" s="9"/>
      <c r="D17" s="10" t="s">
        <v>50</v>
      </c>
      <c r="E17" s="11" t="s">
        <v>51</v>
      </c>
      <c r="F17" s="12" t="s">
        <v>20</v>
      </c>
      <c r="G17" s="13">
        <f>SUM(H17:J17)</f>
        <v>4434806.57</v>
      </c>
      <c r="H17" s="14">
        <v>2217403.2799999998</v>
      </c>
      <c r="I17" s="14">
        <v>2217403.29</v>
      </c>
      <c r="J17" s="14"/>
      <c r="K17" s="15">
        <v>42705</v>
      </c>
      <c r="L17" s="15">
        <v>42824</v>
      </c>
      <c r="M17" s="38">
        <v>2217403.29</v>
      </c>
      <c r="N17" s="16">
        <v>1</v>
      </c>
      <c r="O17" s="16">
        <f t="shared" si="1"/>
        <v>1</v>
      </c>
      <c r="P17" s="17" t="s">
        <v>21</v>
      </c>
      <c r="S17" s="86"/>
    </row>
    <row r="18" spans="2:19" s="18" customFormat="1" ht="72" x14ac:dyDescent="0.25">
      <c r="B18" s="8">
        <f t="shared" si="2"/>
        <v>13</v>
      </c>
      <c r="C18" s="9"/>
      <c r="D18" s="10" t="s">
        <v>52</v>
      </c>
      <c r="E18" s="11" t="s">
        <v>53</v>
      </c>
      <c r="F18" s="12" t="s">
        <v>54</v>
      </c>
      <c r="G18" s="13">
        <f t="shared" si="0"/>
        <v>2938032.71</v>
      </c>
      <c r="H18" s="14">
        <v>2938032.71</v>
      </c>
      <c r="I18" s="14">
        <v>0</v>
      </c>
      <c r="J18" s="14"/>
      <c r="K18" s="15">
        <v>42705</v>
      </c>
      <c r="L18" s="15">
        <v>42849</v>
      </c>
      <c r="M18" s="38">
        <v>0</v>
      </c>
      <c r="N18" s="16">
        <v>1</v>
      </c>
      <c r="O18" s="16">
        <v>0</v>
      </c>
      <c r="P18" s="17" t="s">
        <v>21</v>
      </c>
      <c r="S18" s="86"/>
    </row>
    <row r="19" spans="2:19" s="18" customFormat="1" ht="60" x14ac:dyDescent="0.25">
      <c r="B19" s="8">
        <f t="shared" si="2"/>
        <v>14</v>
      </c>
      <c r="C19" s="9"/>
      <c r="D19" s="10" t="s">
        <v>55</v>
      </c>
      <c r="E19" s="11" t="s">
        <v>56</v>
      </c>
      <c r="F19" s="12" t="s">
        <v>57</v>
      </c>
      <c r="G19" s="13">
        <f t="shared" si="0"/>
        <v>1528567.33</v>
      </c>
      <c r="H19" s="14">
        <v>1528567.33</v>
      </c>
      <c r="I19" s="14">
        <v>0</v>
      </c>
      <c r="J19" s="14"/>
      <c r="K19" s="15">
        <v>42717</v>
      </c>
      <c r="L19" s="15">
        <v>42864</v>
      </c>
      <c r="M19" s="38">
        <v>0</v>
      </c>
      <c r="N19" s="16">
        <v>1</v>
      </c>
      <c r="O19" s="16">
        <v>0</v>
      </c>
      <c r="P19" s="17" t="s">
        <v>21</v>
      </c>
      <c r="S19" s="86"/>
    </row>
    <row r="20" spans="2:19" s="18" customFormat="1" ht="48" x14ac:dyDescent="0.25">
      <c r="B20" s="8">
        <f t="shared" si="2"/>
        <v>15</v>
      </c>
      <c r="C20" s="9"/>
      <c r="D20" s="10" t="s">
        <v>58</v>
      </c>
      <c r="E20" s="11" t="s">
        <v>59</v>
      </c>
      <c r="F20" s="12" t="s">
        <v>30</v>
      </c>
      <c r="G20" s="13">
        <f t="shared" si="0"/>
        <v>289712.19</v>
      </c>
      <c r="H20" s="14">
        <v>202712.19</v>
      </c>
      <c r="I20" s="14">
        <v>87000</v>
      </c>
      <c r="J20" s="14"/>
      <c r="K20" s="15">
        <v>41241</v>
      </c>
      <c r="L20" s="15">
        <v>42776</v>
      </c>
      <c r="M20" s="38">
        <v>79160.31</v>
      </c>
      <c r="N20" s="16">
        <v>0.95</v>
      </c>
      <c r="O20" s="16">
        <f t="shared" si="1"/>
        <v>0.90988862068965515</v>
      </c>
      <c r="P20" s="17" t="s">
        <v>34</v>
      </c>
      <c r="S20" s="86"/>
    </row>
    <row r="21" spans="2:19" s="18" customFormat="1" ht="24" x14ac:dyDescent="0.25">
      <c r="B21" s="8">
        <f t="shared" si="2"/>
        <v>16</v>
      </c>
      <c r="C21" s="9"/>
      <c r="D21" s="10" t="s">
        <v>60</v>
      </c>
      <c r="E21" s="11" t="s">
        <v>61</v>
      </c>
      <c r="F21" s="12" t="s">
        <v>33</v>
      </c>
      <c r="G21" s="13">
        <f t="shared" si="0"/>
        <v>925834.22</v>
      </c>
      <c r="H21" s="14">
        <v>462917.11</v>
      </c>
      <c r="I21" s="14">
        <v>462917.11</v>
      </c>
      <c r="J21" s="14"/>
      <c r="K21" s="15">
        <v>42710</v>
      </c>
      <c r="L21" s="15">
        <v>42814</v>
      </c>
      <c r="M21" s="38">
        <v>462917.11</v>
      </c>
      <c r="N21" s="16">
        <v>1</v>
      </c>
      <c r="O21" s="16">
        <f t="shared" si="1"/>
        <v>1</v>
      </c>
      <c r="P21" s="17" t="s">
        <v>34</v>
      </c>
      <c r="S21" s="86"/>
    </row>
    <row r="22" spans="2:19" s="18" customFormat="1" ht="36" x14ac:dyDescent="0.25">
      <c r="B22" s="8">
        <f t="shared" si="2"/>
        <v>17</v>
      </c>
      <c r="C22" s="9"/>
      <c r="D22" s="10" t="s">
        <v>62</v>
      </c>
      <c r="E22" s="11" t="s">
        <v>63</v>
      </c>
      <c r="F22" s="12" t="s">
        <v>64</v>
      </c>
      <c r="G22" s="13">
        <f t="shared" si="0"/>
        <v>2816700.6199999996</v>
      </c>
      <c r="H22" s="14">
        <f>1418447.88-10097.57</f>
        <v>1408350.3099999998</v>
      </c>
      <c r="I22" s="14">
        <f>1418447.89-10097.58</f>
        <v>1408350.3099999998</v>
      </c>
      <c r="J22" s="14"/>
      <c r="K22" s="15">
        <v>42724</v>
      </c>
      <c r="L22" s="15">
        <v>42863</v>
      </c>
      <c r="M22" s="38">
        <v>1408350.3199999998</v>
      </c>
      <c r="N22" s="16">
        <v>1</v>
      </c>
      <c r="O22" s="16">
        <f t="shared" si="1"/>
        <v>1.0000000071005062</v>
      </c>
      <c r="P22" s="17" t="s">
        <v>21</v>
      </c>
      <c r="S22" s="86"/>
    </row>
    <row r="23" spans="2:19" s="18" customFormat="1" ht="24" x14ac:dyDescent="0.25">
      <c r="B23" s="8">
        <f t="shared" si="2"/>
        <v>18</v>
      </c>
      <c r="C23" s="9"/>
      <c r="D23" s="10" t="s">
        <v>65</v>
      </c>
      <c r="E23" s="11" t="s">
        <v>66</v>
      </c>
      <c r="F23" s="12" t="s">
        <v>67</v>
      </c>
      <c r="G23" s="13">
        <f t="shared" si="0"/>
        <v>2197363.8499999996</v>
      </c>
      <c r="H23" s="14">
        <f>44031.53-743.46</f>
        <v>43288.07</v>
      </c>
      <c r="I23" s="14">
        <f>2194238.05-40162.27</f>
        <v>2154075.7799999998</v>
      </c>
      <c r="J23" s="14"/>
      <c r="K23" s="15">
        <v>42727</v>
      </c>
      <c r="L23" s="15">
        <v>42939</v>
      </c>
      <c r="M23" s="38">
        <v>2154073.63</v>
      </c>
      <c r="N23" s="16">
        <v>1</v>
      </c>
      <c r="O23" s="16">
        <f t="shared" si="1"/>
        <v>0.99999900189212476</v>
      </c>
      <c r="P23" s="17" t="s">
        <v>21</v>
      </c>
      <c r="S23" s="86"/>
    </row>
    <row r="24" spans="2:19" s="18" customFormat="1" ht="24" x14ac:dyDescent="0.25">
      <c r="B24" s="8">
        <f t="shared" si="2"/>
        <v>19</v>
      </c>
      <c r="C24" s="9"/>
      <c r="D24" s="10" t="s">
        <v>68</v>
      </c>
      <c r="E24" s="11" t="s">
        <v>69</v>
      </c>
      <c r="F24" s="12" t="s">
        <v>70</v>
      </c>
      <c r="G24" s="13">
        <f t="shared" si="0"/>
        <v>2051986.1800000002</v>
      </c>
      <c r="H24" s="14">
        <v>602158.06999999995</v>
      </c>
      <c r="I24" s="14">
        <v>1449828.11</v>
      </c>
      <c r="J24" s="14"/>
      <c r="K24" s="15">
        <v>42724</v>
      </c>
      <c r="L24" s="15">
        <v>42856</v>
      </c>
      <c r="M24" s="38">
        <v>1449828.1099999999</v>
      </c>
      <c r="N24" s="16">
        <v>1</v>
      </c>
      <c r="O24" s="16">
        <f t="shared" si="1"/>
        <v>0.99999999999999989</v>
      </c>
      <c r="P24" s="17" t="s">
        <v>21</v>
      </c>
      <c r="S24" s="86"/>
    </row>
    <row r="25" spans="2:19" s="18" customFormat="1" ht="24" x14ac:dyDescent="0.25">
      <c r="B25" s="8">
        <f t="shared" si="2"/>
        <v>20</v>
      </c>
      <c r="C25" s="9"/>
      <c r="D25" s="10" t="s">
        <v>71</v>
      </c>
      <c r="E25" s="11" t="s">
        <v>72</v>
      </c>
      <c r="F25" s="12" t="s">
        <v>73</v>
      </c>
      <c r="G25" s="13">
        <f t="shared" si="0"/>
        <v>3053003.4000000004</v>
      </c>
      <c r="H25" s="14">
        <f>1611143.32-84641.62</f>
        <v>1526501.7000000002</v>
      </c>
      <c r="I25" s="14">
        <f>1611143.32-84641.62</f>
        <v>1526501.7000000002</v>
      </c>
      <c r="J25" s="14"/>
      <c r="K25" s="15">
        <v>42751</v>
      </c>
      <c r="L25" s="15">
        <v>42901</v>
      </c>
      <c r="M25" s="38">
        <v>1526501.7000000002</v>
      </c>
      <c r="N25" s="16">
        <v>1</v>
      </c>
      <c r="O25" s="16">
        <f t="shared" si="1"/>
        <v>1</v>
      </c>
      <c r="P25" s="17" t="s">
        <v>21</v>
      </c>
      <c r="S25" s="86"/>
    </row>
    <row r="26" spans="2:19" s="18" customFormat="1" ht="24" x14ac:dyDescent="0.25">
      <c r="B26" s="8">
        <f t="shared" si="2"/>
        <v>21</v>
      </c>
      <c r="C26" s="9"/>
      <c r="D26" s="10" t="s">
        <v>74</v>
      </c>
      <c r="E26" s="11" t="s">
        <v>75</v>
      </c>
      <c r="F26" s="12" t="s">
        <v>39</v>
      </c>
      <c r="G26" s="13">
        <f t="shared" si="0"/>
        <v>2265371.79</v>
      </c>
      <c r="H26" s="14">
        <v>2211897.4300000002</v>
      </c>
      <c r="I26" s="14">
        <v>53474.36</v>
      </c>
      <c r="J26" s="14"/>
      <c r="K26" s="15">
        <v>42744</v>
      </c>
      <c r="L26" s="15">
        <v>42863</v>
      </c>
      <c r="M26" s="38">
        <v>53474.36</v>
      </c>
      <c r="N26" s="16">
        <v>1</v>
      </c>
      <c r="O26" s="16">
        <f t="shared" si="1"/>
        <v>1</v>
      </c>
      <c r="P26" s="17" t="s">
        <v>21</v>
      </c>
      <c r="S26" s="86"/>
    </row>
    <row r="27" spans="2:19" s="18" customFormat="1" ht="24" x14ac:dyDescent="0.25">
      <c r="B27" s="8">
        <f t="shared" si="2"/>
        <v>22</v>
      </c>
      <c r="C27" s="9"/>
      <c r="D27" s="10" t="s">
        <v>76</v>
      </c>
      <c r="E27" s="11" t="s">
        <v>77</v>
      </c>
      <c r="F27" s="12" t="s">
        <v>20</v>
      </c>
      <c r="G27" s="13">
        <f t="shared" si="0"/>
        <v>1191862.3499999999</v>
      </c>
      <c r="H27" s="14">
        <f>687195.2-91264.02</f>
        <v>595931.17999999993</v>
      </c>
      <c r="I27" s="14">
        <f>687195.2-91264.03</f>
        <v>595931.16999999993</v>
      </c>
      <c r="J27" s="14"/>
      <c r="K27" s="15">
        <v>42724</v>
      </c>
      <c r="L27" s="15">
        <v>42858</v>
      </c>
      <c r="M27" s="38">
        <v>595931.17000000004</v>
      </c>
      <c r="N27" s="16">
        <v>1</v>
      </c>
      <c r="O27" s="16">
        <f t="shared" si="1"/>
        <v>1.0000000000000002</v>
      </c>
      <c r="P27" s="17" t="s">
        <v>21</v>
      </c>
      <c r="S27" s="86"/>
    </row>
    <row r="28" spans="2:19" s="18" customFormat="1" ht="24" x14ac:dyDescent="0.25">
      <c r="B28" s="8">
        <f t="shared" si="2"/>
        <v>23</v>
      </c>
      <c r="C28" s="9"/>
      <c r="D28" s="10" t="s">
        <v>78</v>
      </c>
      <c r="E28" s="11" t="s">
        <v>72</v>
      </c>
      <c r="F28" s="12" t="s">
        <v>79</v>
      </c>
      <c r="G28" s="13">
        <f t="shared" si="0"/>
        <v>1221160.18</v>
      </c>
      <c r="H28" s="14">
        <f>639523.49-28943.4</f>
        <v>610580.09</v>
      </c>
      <c r="I28" s="14">
        <f>639523.49-28943.4</f>
        <v>610580.09</v>
      </c>
      <c r="J28" s="14"/>
      <c r="K28" s="15">
        <v>42730</v>
      </c>
      <c r="L28" s="15">
        <v>42849</v>
      </c>
      <c r="M28" s="38">
        <v>610580.09</v>
      </c>
      <c r="N28" s="16">
        <v>1</v>
      </c>
      <c r="O28" s="16">
        <f t="shared" si="1"/>
        <v>1</v>
      </c>
      <c r="P28" s="17" t="s">
        <v>21</v>
      </c>
      <c r="S28" s="86"/>
    </row>
    <row r="29" spans="2:19" s="18" customFormat="1" ht="24" x14ac:dyDescent="0.25">
      <c r="B29" s="8">
        <f t="shared" si="2"/>
        <v>24</v>
      </c>
      <c r="C29" s="9"/>
      <c r="D29" s="10" t="s">
        <v>80</v>
      </c>
      <c r="E29" s="11" t="s">
        <v>81</v>
      </c>
      <c r="F29" s="12" t="s">
        <v>82</v>
      </c>
      <c r="G29" s="13">
        <f t="shared" si="0"/>
        <v>3940684.86</v>
      </c>
      <c r="H29" s="14">
        <f>2066480.99-96138.56</f>
        <v>1970342.43</v>
      </c>
      <c r="I29" s="14">
        <f>2066480.99-96138.56</f>
        <v>1970342.43</v>
      </c>
      <c r="J29" s="14"/>
      <c r="K29" s="15">
        <v>42737</v>
      </c>
      <c r="L29" s="15">
        <v>42888</v>
      </c>
      <c r="M29" s="38">
        <v>1970342.44</v>
      </c>
      <c r="N29" s="16">
        <v>1</v>
      </c>
      <c r="O29" s="16">
        <f t="shared" si="1"/>
        <v>1.00000000507526</v>
      </c>
      <c r="P29" s="17" t="s">
        <v>21</v>
      </c>
      <c r="S29" s="86"/>
    </row>
    <row r="30" spans="2:19" s="18" customFormat="1" ht="24" x14ac:dyDescent="0.25">
      <c r="B30" s="8">
        <f t="shared" si="2"/>
        <v>25</v>
      </c>
      <c r="C30" s="9"/>
      <c r="D30" s="10" t="s">
        <v>83</v>
      </c>
      <c r="E30" s="11" t="s">
        <v>84</v>
      </c>
      <c r="F30" s="12" t="s">
        <v>44</v>
      </c>
      <c r="G30" s="13">
        <f t="shared" si="0"/>
        <v>3478756.6799999997</v>
      </c>
      <c r="H30" s="14">
        <v>528075.26</v>
      </c>
      <c r="I30" s="14">
        <v>2950681.42</v>
      </c>
      <c r="J30" s="14"/>
      <c r="K30" s="15">
        <v>42734</v>
      </c>
      <c r="L30" s="15">
        <v>42902</v>
      </c>
      <c r="M30" s="38">
        <v>2950681.42</v>
      </c>
      <c r="N30" s="16">
        <v>1</v>
      </c>
      <c r="O30" s="16">
        <f t="shared" si="1"/>
        <v>1</v>
      </c>
      <c r="P30" s="17" t="s">
        <v>21</v>
      </c>
      <c r="S30" s="86"/>
    </row>
    <row r="31" spans="2:19" s="18" customFormat="1" ht="24" x14ac:dyDescent="0.25">
      <c r="B31" s="8">
        <f t="shared" si="2"/>
        <v>26</v>
      </c>
      <c r="C31" s="9"/>
      <c r="D31" s="10" t="s">
        <v>85</v>
      </c>
      <c r="E31" s="11" t="s">
        <v>86</v>
      </c>
      <c r="F31" s="12" t="s">
        <v>73</v>
      </c>
      <c r="G31" s="13">
        <f t="shared" si="0"/>
        <v>4995752.5599999996</v>
      </c>
      <c r="H31" s="14">
        <v>2497876.2799999998</v>
      </c>
      <c r="I31" s="14">
        <v>2497876.2799999998</v>
      </c>
      <c r="J31" s="14"/>
      <c r="K31" s="15">
        <v>42723</v>
      </c>
      <c r="L31" s="15">
        <v>42842</v>
      </c>
      <c r="M31" s="38">
        <v>2497876.2799999998</v>
      </c>
      <c r="N31" s="16">
        <v>1</v>
      </c>
      <c r="O31" s="16">
        <f t="shared" si="1"/>
        <v>1</v>
      </c>
      <c r="P31" s="17" t="s">
        <v>21</v>
      </c>
      <c r="S31" s="86"/>
    </row>
    <row r="32" spans="2:19" s="18" customFormat="1" ht="24" x14ac:dyDescent="0.25">
      <c r="B32" s="8">
        <f t="shared" si="2"/>
        <v>27</v>
      </c>
      <c r="C32" s="9"/>
      <c r="D32" s="10" t="s">
        <v>87</v>
      </c>
      <c r="E32" s="11" t="s">
        <v>88</v>
      </c>
      <c r="F32" s="12" t="s">
        <v>20</v>
      </c>
      <c r="G32" s="13">
        <f t="shared" si="0"/>
        <v>4165133.7800000003</v>
      </c>
      <c r="H32" s="14">
        <v>1836824</v>
      </c>
      <c r="I32" s="14">
        <v>2328309.7800000003</v>
      </c>
      <c r="J32" s="14"/>
      <c r="K32" s="15">
        <v>42723</v>
      </c>
      <c r="L32" s="15">
        <v>42872</v>
      </c>
      <c r="M32" s="38">
        <v>2328309.7799999998</v>
      </c>
      <c r="N32" s="16">
        <v>1</v>
      </c>
      <c r="O32" s="16">
        <f t="shared" si="1"/>
        <v>0.99999999999999978</v>
      </c>
      <c r="P32" s="17" t="s">
        <v>21</v>
      </c>
      <c r="S32" s="86"/>
    </row>
    <row r="33" spans="2:19" s="18" customFormat="1" ht="36" x14ac:dyDescent="0.25">
      <c r="B33" s="8">
        <f t="shared" si="2"/>
        <v>28</v>
      </c>
      <c r="C33" s="9"/>
      <c r="D33" s="10" t="s">
        <v>89</v>
      </c>
      <c r="E33" s="11" t="s">
        <v>90</v>
      </c>
      <c r="F33" s="12" t="s">
        <v>20</v>
      </c>
      <c r="G33" s="13">
        <f t="shared" si="0"/>
        <v>1663903.97</v>
      </c>
      <c r="H33" s="14">
        <v>831951.98</v>
      </c>
      <c r="I33" s="14">
        <v>831951.99</v>
      </c>
      <c r="J33" s="14"/>
      <c r="K33" s="15">
        <v>42723</v>
      </c>
      <c r="L33" s="15">
        <v>42842</v>
      </c>
      <c r="M33" s="38">
        <v>831951.99</v>
      </c>
      <c r="N33" s="16">
        <v>1</v>
      </c>
      <c r="O33" s="16">
        <f t="shared" si="1"/>
        <v>1</v>
      </c>
      <c r="P33" s="17" t="s">
        <v>21</v>
      </c>
      <c r="S33" s="86"/>
    </row>
    <row r="34" spans="2:19" s="18" customFormat="1" ht="24" x14ac:dyDescent="0.25">
      <c r="B34" s="8">
        <f t="shared" si="2"/>
        <v>29</v>
      </c>
      <c r="C34" s="9"/>
      <c r="D34" s="10" t="s">
        <v>91</v>
      </c>
      <c r="E34" s="11" t="s">
        <v>92</v>
      </c>
      <c r="F34" s="12" t="s">
        <v>39</v>
      </c>
      <c r="G34" s="13">
        <f t="shared" si="0"/>
        <v>3321373.7199999997</v>
      </c>
      <c r="H34" s="14">
        <f>1732012.91-71326.05</f>
        <v>1660686.8599999999</v>
      </c>
      <c r="I34" s="14">
        <f>1732012.91-71326.05</f>
        <v>1660686.8599999999</v>
      </c>
      <c r="J34" s="14"/>
      <c r="K34" s="15">
        <v>42737</v>
      </c>
      <c r="L34" s="15">
        <v>42856</v>
      </c>
      <c r="M34" s="38">
        <v>1660686.8599999999</v>
      </c>
      <c r="N34" s="16">
        <v>1</v>
      </c>
      <c r="O34" s="16">
        <f t="shared" si="1"/>
        <v>1</v>
      </c>
      <c r="P34" s="17" t="s">
        <v>21</v>
      </c>
      <c r="S34" s="86"/>
    </row>
    <row r="35" spans="2:19" s="18" customFormat="1" ht="24" x14ac:dyDescent="0.25">
      <c r="B35" s="8">
        <f t="shared" si="2"/>
        <v>30</v>
      </c>
      <c r="C35" s="9"/>
      <c r="D35" s="10" t="s">
        <v>93</v>
      </c>
      <c r="E35" s="11" t="s">
        <v>94</v>
      </c>
      <c r="F35" s="12" t="s">
        <v>39</v>
      </c>
      <c r="G35" s="13">
        <f t="shared" si="0"/>
        <v>4455139.92</v>
      </c>
      <c r="H35" s="14">
        <v>2353663.39</v>
      </c>
      <c r="I35" s="14">
        <v>2101476.5299999998</v>
      </c>
      <c r="J35" s="14"/>
      <c r="K35" s="15">
        <v>42745</v>
      </c>
      <c r="L35" s="15">
        <v>42914</v>
      </c>
      <c r="M35" s="38">
        <v>2101489.5</v>
      </c>
      <c r="N35" s="16">
        <v>1</v>
      </c>
      <c r="O35" s="16">
        <f t="shared" si="1"/>
        <v>1.0000061718509892</v>
      </c>
      <c r="P35" s="17" t="s">
        <v>21</v>
      </c>
      <c r="S35" s="86"/>
    </row>
    <row r="36" spans="2:19" s="18" customFormat="1" ht="24" customHeight="1" x14ac:dyDescent="0.25">
      <c r="B36" s="8">
        <f t="shared" si="2"/>
        <v>31</v>
      </c>
      <c r="C36" s="9"/>
      <c r="D36" s="10" t="s">
        <v>95</v>
      </c>
      <c r="E36" s="11" t="s">
        <v>96</v>
      </c>
      <c r="F36" s="12" t="s">
        <v>79</v>
      </c>
      <c r="G36" s="13">
        <f t="shared" si="0"/>
        <v>2969240.36</v>
      </c>
      <c r="H36" s="14">
        <v>608763.85</v>
      </c>
      <c r="I36" s="14">
        <v>2360476.5099999998</v>
      </c>
      <c r="J36" s="14"/>
      <c r="K36" s="15">
        <v>42745</v>
      </c>
      <c r="L36" s="15">
        <v>42892</v>
      </c>
      <c r="M36" s="38">
        <v>2360476.5099999998</v>
      </c>
      <c r="N36" s="16">
        <v>1</v>
      </c>
      <c r="O36" s="16">
        <f t="shared" si="1"/>
        <v>1</v>
      </c>
      <c r="P36" s="17" t="s">
        <v>21</v>
      </c>
      <c r="S36" s="86"/>
    </row>
    <row r="37" spans="2:19" s="18" customFormat="1" ht="36" x14ac:dyDescent="0.25">
      <c r="B37" s="8">
        <f t="shared" si="2"/>
        <v>32</v>
      </c>
      <c r="C37" s="9"/>
      <c r="D37" s="10" t="s">
        <v>97</v>
      </c>
      <c r="E37" s="11" t="s">
        <v>98</v>
      </c>
      <c r="F37" s="12" t="s">
        <v>20</v>
      </c>
      <c r="G37" s="13">
        <f t="shared" si="0"/>
        <v>2610644.98</v>
      </c>
      <c r="H37" s="14">
        <f>1221051.66</f>
        <v>1221051.6599999999</v>
      </c>
      <c r="I37" s="14">
        <f>1221051.67</f>
        <v>1221051.67</v>
      </c>
      <c r="J37" s="14">
        <v>168541.65</v>
      </c>
      <c r="K37" s="15">
        <v>42744</v>
      </c>
      <c r="L37" s="15">
        <v>42884</v>
      </c>
      <c r="M37" s="38">
        <v>1221051.67</v>
      </c>
      <c r="N37" s="16">
        <v>1</v>
      </c>
      <c r="O37" s="16">
        <f t="shared" si="1"/>
        <v>1</v>
      </c>
      <c r="P37" s="17" t="s">
        <v>21</v>
      </c>
      <c r="S37" s="86"/>
    </row>
    <row r="38" spans="2:19" s="18" customFormat="1" ht="36" x14ac:dyDescent="0.25">
      <c r="B38" s="8">
        <f t="shared" si="2"/>
        <v>33</v>
      </c>
      <c r="C38" s="9"/>
      <c r="D38" s="10" t="s">
        <v>99</v>
      </c>
      <c r="E38" s="11" t="s">
        <v>100</v>
      </c>
      <c r="F38" s="12" t="s">
        <v>101</v>
      </c>
      <c r="G38" s="13">
        <f t="shared" si="0"/>
        <v>5064342.96</v>
      </c>
      <c r="H38" s="14">
        <f>2379622.31</f>
        <v>2379622.31</v>
      </c>
      <c r="I38" s="14">
        <f>2379622.32</f>
        <v>2379622.3199999998</v>
      </c>
      <c r="J38" s="14">
        <v>305098.33</v>
      </c>
      <c r="K38" s="15">
        <v>42745</v>
      </c>
      <c r="L38" s="15">
        <v>42882</v>
      </c>
      <c r="M38" s="38">
        <v>2379622.3200000003</v>
      </c>
      <c r="N38" s="16">
        <v>1</v>
      </c>
      <c r="O38" s="16">
        <f t="shared" si="1"/>
        <v>1.0000000000000002</v>
      </c>
      <c r="P38" s="17" t="s">
        <v>21</v>
      </c>
      <c r="S38" s="86"/>
    </row>
    <row r="39" spans="2:19" s="18" customFormat="1" ht="24" x14ac:dyDescent="0.25">
      <c r="B39" s="8">
        <f t="shared" si="2"/>
        <v>34</v>
      </c>
      <c r="C39" s="9"/>
      <c r="D39" s="10" t="s">
        <v>102</v>
      </c>
      <c r="E39" s="11" t="s">
        <v>103</v>
      </c>
      <c r="F39" s="12" t="s">
        <v>104</v>
      </c>
      <c r="G39" s="13">
        <f t="shared" si="0"/>
        <v>374532.22</v>
      </c>
      <c r="H39" s="14">
        <v>212532.22</v>
      </c>
      <c r="I39" s="14">
        <v>162000</v>
      </c>
      <c r="J39" s="14"/>
      <c r="K39" s="15">
        <v>42717</v>
      </c>
      <c r="L39" s="15">
        <v>42761</v>
      </c>
      <c r="M39" s="38">
        <v>108940.53</v>
      </c>
      <c r="N39" s="16">
        <v>0.65</v>
      </c>
      <c r="O39" s="16">
        <f t="shared" si="1"/>
        <v>0.67247240740740744</v>
      </c>
      <c r="P39" s="17" t="s">
        <v>34</v>
      </c>
      <c r="S39" s="86"/>
    </row>
    <row r="40" spans="2:19" s="18" customFormat="1" ht="24" x14ac:dyDescent="0.25">
      <c r="B40" s="8">
        <f t="shared" si="2"/>
        <v>35</v>
      </c>
      <c r="C40" s="9"/>
      <c r="D40" s="10" t="s">
        <v>105</v>
      </c>
      <c r="E40" s="11" t="s">
        <v>106</v>
      </c>
      <c r="F40" s="12" t="s">
        <v>39</v>
      </c>
      <c r="G40" s="13">
        <f t="shared" si="0"/>
        <v>137396.87</v>
      </c>
      <c r="H40" s="14">
        <v>56612.98</v>
      </c>
      <c r="I40" s="14">
        <v>80783.89</v>
      </c>
      <c r="J40" s="14"/>
      <c r="K40" s="15">
        <v>42717</v>
      </c>
      <c r="L40" s="15">
        <v>42746</v>
      </c>
      <c r="M40" s="38">
        <v>66020.44</v>
      </c>
      <c r="N40" s="16">
        <v>0.84</v>
      </c>
      <c r="O40" s="16">
        <f t="shared" si="1"/>
        <v>0.81724759726227592</v>
      </c>
      <c r="P40" s="17" t="s">
        <v>34</v>
      </c>
      <c r="S40" s="86"/>
    </row>
    <row r="41" spans="2:19" s="18" customFormat="1" ht="24" x14ac:dyDescent="0.25">
      <c r="B41" s="8">
        <f t="shared" si="2"/>
        <v>36</v>
      </c>
      <c r="C41" s="9"/>
      <c r="D41" s="10" t="s">
        <v>107</v>
      </c>
      <c r="E41" s="11" t="s">
        <v>108</v>
      </c>
      <c r="F41" s="12" t="s">
        <v>20</v>
      </c>
      <c r="G41" s="13">
        <f t="shared" si="0"/>
        <v>983800.71</v>
      </c>
      <c r="H41" s="14">
        <v>491900.35</v>
      </c>
      <c r="I41" s="14">
        <v>491900.36</v>
      </c>
      <c r="J41" s="14"/>
      <c r="K41" s="15">
        <v>42717</v>
      </c>
      <c r="L41" s="15">
        <v>42836</v>
      </c>
      <c r="M41" s="38">
        <v>491900.36</v>
      </c>
      <c r="N41" s="16">
        <v>1</v>
      </c>
      <c r="O41" s="16">
        <f t="shared" si="1"/>
        <v>1</v>
      </c>
      <c r="P41" s="17" t="s">
        <v>34</v>
      </c>
      <c r="S41" s="86"/>
    </row>
    <row r="42" spans="2:19" s="18" customFormat="1" ht="24" x14ac:dyDescent="0.25">
      <c r="B42" s="8">
        <f t="shared" si="2"/>
        <v>37</v>
      </c>
      <c r="C42" s="9"/>
      <c r="D42" s="10" t="s">
        <v>109</v>
      </c>
      <c r="E42" s="11" t="s">
        <v>110</v>
      </c>
      <c r="F42" s="12" t="s">
        <v>20</v>
      </c>
      <c r="G42" s="13">
        <f t="shared" si="0"/>
        <v>5552822.9100000001</v>
      </c>
      <c r="H42" s="14">
        <f>3411721.15-65621.46</f>
        <v>3346099.69</v>
      </c>
      <c r="I42" s="14">
        <f>2250000-43276.78</f>
        <v>2206723.2200000002</v>
      </c>
      <c r="J42" s="14"/>
      <c r="K42" s="15">
        <v>42751</v>
      </c>
      <c r="L42" s="15">
        <v>42916</v>
      </c>
      <c r="M42" s="38">
        <v>2206691.8200000003</v>
      </c>
      <c r="N42" s="16">
        <v>1</v>
      </c>
      <c r="O42" s="16">
        <f t="shared" si="1"/>
        <v>0.99998577075742201</v>
      </c>
      <c r="P42" s="17" t="s">
        <v>21</v>
      </c>
      <c r="S42" s="86"/>
    </row>
    <row r="43" spans="2:19" s="18" customFormat="1" ht="60" x14ac:dyDescent="0.25">
      <c r="B43" s="8">
        <f t="shared" si="2"/>
        <v>38</v>
      </c>
      <c r="C43" s="9"/>
      <c r="D43" s="10" t="s">
        <v>111</v>
      </c>
      <c r="E43" s="11" t="s">
        <v>112</v>
      </c>
      <c r="F43" s="12" t="s">
        <v>20</v>
      </c>
      <c r="G43" s="13">
        <f t="shared" si="0"/>
        <v>3600209.6</v>
      </c>
      <c r="H43" s="14">
        <f>4165742.7-565533.1</f>
        <v>3600209.6</v>
      </c>
      <c r="I43" s="14">
        <v>0</v>
      </c>
      <c r="J43" s="14"/>
      <c r="K43" s="15" t="s">
        <v>113</v>
      </c>
      <c r="L43" s="15">
        <v>42900</v>
      </c>
      <c r="M43" s="38">
        <v>0</v>
      </c>
      <c r="N43" s="16">
        <v>0.83</v>
      </c>
      <c r="O43" s="16">
        <v>0</v>
      </c>
      <c r="P43" s="17" t="s">
        <v>21</v>
      </c>
      <c r="S43" s="86"/>
    </row>
    <row r="44" spans="2:19" s="18" customFormat="1" ht="72" x14ac:dyDescent="0.25">
      <c r="B44" s="8">
        <f t="shared" si="2"/>
        <v>39</v>
      </c>
      <c r="C44" s="9"/>
      <c r="D44" s="10" t="s">
        <v>114</v>
      </c>
      <c r="E44" s="11" t="s">
        <v>115</v>
      </c>
      <c r="F44" s="12" t="s">
        <v>33</v>
      </c>
      <c r="G44" s="13">
        <f t="shared" si="0"/>
        <v>3297196.49</v>
      </c>
      <c r="H44" s="14">
        <v>3297196.49</v>
      </c>
      <c r="I44" s="14">
        <v>0</v>
      </c>
      <c r="J44" s="14"/>
      <c r="K44" s="15">
        <v>42751</v>
      </c>
      <c r="L44" s="15">
        <v>42901</v>
      </c>
      <c r="M44" s="38">
        <v>0</v>
      </c>
      <c r="N44" s="16">
        <v>1</v>
      </c>
      <c r="O44" s="16">
        <v>0</v>
      </c>
      <c r="P44" s="17" t="s">
        <v>21</v>
      </c>
      <c r="S44" s="86"/>
    </row>
    <row r="45" spans="2:19" s="18" customFormat="1" ht="36" x14ac:dyDescent="0.25">
      <c r="B45" s="8">
        <f t="shared" si="2"/>
        <v>40</v>
      </c>
      <c r="C45" s="9"/>
      <c r="D45" s="10" t="s">
        <v>116</v>
      </c>
      <c r="E45" s="11" t="s">
        <v>117</v>
      </c>
      <c r="F45" s="12" t="s">
        <v>24</v>
      </c>
      <c r="G45" s="13">
        <f t="shared" si="0"/>
        <v>974920.46</v>
      </c>
      <c r="H45" s="14">
        <v>918180.1</v>
      </c>
      <c r="I45" s="14">
        <v>56740.36</v>
      </c>
      <c r="J45" s="14"/>
      <c r="K45" s="15">
        <v>42723</v>
      </c>
      <c r="L45" s="15">
        <v>42887</v>
      </c>
      <c r="M45" s="38">
        <v>56740.36</v>
      </c>
      <c r="N45" s="16">
        <v>1</v>
      </c>
      <c r="O45" s="16">
        <f t="shared" si="1"/>
        <v>1</v>
      </c>
      <c r="P45" s="17" t="s">
        <v>34</v>
      </c>
      <c r="S45" s="86"/>
    </row>
    <row r="46" spans="2:19" s="18" customFormat="1" ht="36" x14ac:dyDescent="0.25">
      <c r="B46" s="8">
        <f t="shared" si="2"/>
        <v>41</v>
      </c>
      <c r="C46" s="9"/>
      <c r="D46" s="10" t="s">
        <v>118</v>
      </c>
      <c r="E46" s="11" t="s">
        <v>119</v>
      </c>
      <c r="F46" s="12" t="s">
        <v>120</v>
      </c>
      <c r="G46" s="13">
        <f t="shared" si="0"/>
        <v>1736086.1400000001</v>
      </c>
      <c r="H46" s="14">
        <v>1149809.8500000001</v>
      </c>
      <c r="I46" s="14">
        <v>586276.29</v>
      </c>
      <c r="J46" s="14"/>
      <c r="K46" s="15">
        <v>42751</v>
      </c>
      <c r="L46" s="15">
        <v>42870</v>
      </c>
      <c r="M46" s="38">
        <v>586276.29</v>
      </c>
      <c r="N46" s="16">
        <v>1</v>
      </c>
      <c r="O46" s="16">
        <f t="shared" si="1"/>
        <v>1</v>
      </c>
      <c r="P46" s="17" t="s">
        <v>21</v>
      </c>
      <c r="S46" s="86"/>
    </row>
    <row r="47" spans="2:19" s="18" customFormat="1" ht="24" x14ac:dyDescent="0.25">
      <c r="B47" s="8">
        <f t="shared" si="2"/>
        <v>42</v>
      </c>
      <c r="C47" s="9"/>
      <c r="D47" s="10" t="s">
        <v>121</v>
      </c>
      <c r="E47" s="11" t="s">
        <v>122</v>
      </c>
      <c r="F47" s="12" t="s">
        <v>39</v>
      </c>
      <c r="G47" s="13">
        <f t="shared" si="0"/>
        <v>573924.47</v>
      </c>
      <c r="H47" s="14">
        <v>297522.44</v>
      </c>
      <c r="I47" s="14">
        <v>276402.03000000003</v>
      </c>
      <c r="J47" s="14"/>
      <c r="K47" s="15">
        <v>42723</v>
      </c>
      <c r="L47" s="15">
        <v>42870</v>
      </c>
      <c r="M47" s="38">
        <v>276402.03000000003</v>
      </c>
      <c r="N47" s="16">
        <v>1</v>
      </c>
      <c r="O47" s="16">
        <f t="shared" si="1"/>
        <v>1</v>
      </c>
      <c r="P47" s="17" t="s">
        <v>34</v>
      </c>
      <c r="S47" s="86"/>
    </row>
    <row r="48" spans="2:19" s="18" customFormat="1" ht="24" x14ac:dyDescent="0.25">
      <c r="B48" s="8">
        <f t="shared" si="2"/>
        <v>43</v>
      </c>
      <c r="C48" s="9"/>
      <c r="D48" s="10" t="s">
        <v>123</v>
      </c>
      <c r="E48" s="11" t="s">
        <v>124</v>
      </c>
      <c r="F48" s="12" t="s">
        <v>104</v>
      </c>
      <c r="G48" s="13">
        <f t="shared" si="0"/>
        <v>1719694.58</v>
      </c>
      <c r="H48" s="14">
        <v>750000</v>
      </c>
      <c r="I48" s="14">
        <v>750000</v>
      </c>
      <c r="J48" s="14">
        <f>10950.56+15879.89+192864.13</f>
        <v>219694.58000000002</v>
      </c>
      <c r="K48" s="15">
        <v>42758</v>
      </c>
      <c r="L48" s="15">
        <v>42917</v>
      </c>
      <c r="M48" s="38">
        <v>749999.99999999988</v>
      </c>
      <c r="N48" s="16">
        <v>1</v>
      </c>
      <c r="O48" s="16">
        <f t="shared" si="1"/>
        <v>0.99999999999999989</v>
      </c>
      <c r="P48" s="17" t="s">
        <v>21</v>
      </c>
      <c r="S48" s="86"/>
    </row>
    <row r="49" spans="2:19" s="18" customFormat="1" ht="21.75" customHeight="1" x14ac:dyDescent="0.25">
      <c r="B49" s="8">
        <f t="shared" si="2"/>
        <v>44</v>
      </c>
      <c r="C49" s="9"/>
      <c r="D49" s="10" t="s">
        <v>125</v>
      </c>
      <c r="E49" s="11" t="s">
        <v>126</v>
      </c>
      <c r="F49" s="12" t="s">
        <v>20</v>
      </c>
      <c r="G49" s="13">
        <f t="shared" si="0"/>
        <v>6564484.9900000002</v>
      </c>
      <c r="H49" s="14">
        <f>1756597.54-49945.91</f>
        <v>1706651.6300000001</v>
      </c>
      <c r="I49" s="14">
        <f>5000000-142166.64</f>
        <v>4857833.3600000003</v>
      </c>
      <c r="J49" s="14"/>
      <c r="K49" s="15">
        <v>42758</v>
      </c>
      <c r="L49" s="15">
        <v>42897</v>
      </c>
      <c r="M49" s="38">
        <v>4857836.7100000018</v>
      </c>
      <c r="N49" s="16">
        <v>1</v>
      </c>
      <c r="O49" s="16">
        <f t="shared" si="1"/>
        <v>1.0000006896078464</v>
      </c>
      <c r="P49" s="17" t="s">
        <v>21</v>
      </c>
      <c r="S49" s="86"/>
    </row>
    <row r="50" spans="2:19" s="18" customFormat="1" ht="27" customHeight="1" x14ac:dyDescent="0.25">
      <c r="B50" s="8">
        <f t="shared" si="2"/>
        <v>45</v>
      </c>
      <c r="C50" s="9"/>
      <c r="D50" s="10" t="s">
        <v>127</v>
      </c>
      <c r="E50" s="11" t="s">
        <v>128</v>
      </c>
      <c r="F50" s="12" t="s">
        <v>20</v>
      </c>
      <c r="G50" s="13">
        <f t="shared" si="0"/>
        <v>6997565.7400000002</v>
      </c>
      <c r="H50" s="14">
        <v>4747565.74</v>
      </c>
      <c r="I50" s="14">
        <v>2250000</v>
      </c>
      <c r="J50" s="14"/>
      <c r="K50" s="15">
        <v>42758</v>
      </c>
      <c r="L50" s="15">
        <v>42964</v>
      </c>
      <c r="M50" s="38">
        <v>2250000.0000000005</v>
      </c>
      <c r="N50" s="16">
        <v>1</v>
      </c>
      <c r="O50" s="16">
        <f t="shared" si="1"/>
        <v>1.0000000000000002</v>
      </c>
      <c r="P50" s="17" t="s">
        <v>21</v>
      </c>
      <c r="S50" s="86"/>
    </row>
    <row r="51" spans="2:19" s="18" customFormat="1" ht="36" x14ac:dyDescent="0.25">
      <c r="B51" s="8">
        <f t="shared" si="2"/>
        <v>46</v>
      </c>
      <c r="C51" s="9"/>
      <c r="D51" s="10" t="s">
        <v>129</v>
      </c>
      <c r="E51" s="11" t="s">
        <v>130</v>
      </c>
      <c r="F51" s="12" t="s">
        <v>20</v>
      </c>
      <c r="G51" s="13">
        <f>SUM(H51:J51)</f>
        <v>23235817.32</v>
      </c>
      <c r="H51" s="14"/>
      <c r="I51" s="14">
        <v>23235817.32</v>
      </c>
      <c r="J51" s="14"/>
      <c r="K51" s="15">
        <v>42765</v>
      </c>
      <c r="L51" s="15">
        <v>42966</v>
      </c>
      <c r="M51" s="87">
        <v>20929944.23</v>
      </c>
      <c r="N51" s="16">
        <v>0.9</v>
      </c>
      <c r="O51" s="16">
        <f t="shared" si="1"/>
        <v>0.90076212692482982</v>
      </c>
      <c r="P51" s="17" t="s">
        <v>131</v>
      </c>
      <c r="S51" s="86"/>
    </row>
    <row r="52" spans="2:19" s="18" customFormat="1" ht="36" x14ac:dyDescent="0.25">
      <c r="B52" s="8">
        <f t="shared" si="2"/>
        <v>47</v>
      </c>
      <c r="C52" s="9"/>
      <c r="D52" s="10" t="s">
        <v>132</v>
      </c>
      <c r="E52" s="11" t="s">
        <v>133</v>
      </c>
      <c r="F52" s="12" t="s">
        <v>20</v>
      </c>
      <c r="G52" s="13">
        <f>SUM(H52:J52)</f>
        <v>22815586.129999999</v>
      </c>
      <c r="H52" s="14"/>
      <c r="I52" s="14">
        <v>22815586.129999999</v>
      </c>
      <c r="J52" s="14"/>
      <c r="K52" s="15">
        <v>42765</v>
      </c>
      <c r="L52" s="15">
        <v>43001</v>
      </c>
      <c r="M52" s="87">
        <v>20630551.77</v>
      </c>
      <c r="N52" s="16">
        <v>0.88</v>
      </c>
      <c r="O52" s="16">
        <f t="shared" si="1"/>
        <v>0.90423062780197794</v>
      </c>
      <c r="P52" s="17" t="s">
        <v>131</v>
      </c>
      <c r="S52" s="86"/>
    </row>
    <row r="53" spans="2:19" s="18" customFormat="1" ht="36" x14ac:dyDescent="0.25">
      <c r="B53" s="8">
        <f t="shared" si="2"/>
        <v>48</v>
      </c>
      <c r="C53" s="9"/>
      <c r="D53" s="10" t="s">
        <v>134</v>
      </c>
      <c r="E53" s="11" t="s">
        <v>135</v>
      </c>
      <c r="F53" s="12" t="s">
        <v>20</v>
      </c>
      <c r="G53" s="13">
        <f t="shared" ref="G53:G116" si="3">SUM(H53:J53)</f>
        <v>2996320.76</v>
      </c>
      <c r="H53" s="14"/>
      <c r="I53" s="14">
        <f>2761709.15+234611.61</f>
        <v>2996320.76</v>
      </c>
      <c r="J53" s="14"/>
      <c r="K53" s="15">
        <v>42765</v>
      </c>
      <c r="L53" s="15">
        <v>42944</v>
      </c>
      <c r="M53" s="87">
        <v>2989146.95</v>
      </c>
      <c r="N53" s="16">
        <v>1</v>
      </c>
      <c r="O53" s="16">
        <f t="shared" si="1"/>
        <v>0.99760579371348757</v>
      </c>
      <c r="P53" s="17" t="s">
        <v>131</v>
      </c>
      <c r="S53" s="86"/>
    </row>
    <row r="54" spans="2:19" s="18" customFormat="1" ht="24" x14ac:dyDescent="0.25">
      <c r="B54" s="8">
        <f t="shared" si="2"/>
        <v>49</v>
      </c>
      <c r="C54" s="9"/>
      <c r="D54" s="10" t="s">
        <v>136</v>
      </c>
      <c r="E54" s="11" t="s">
        <v>137</v>
      </c>
      <c r="F54" s="12" t="s">
        <v>20</v>
      </c>
      <c r="G54" s="13">
        <f t="shared" si="3"/>
        <v>4650000</v>
      </c>
      <c r="H54" s="14">
        <f>2393617.57+106382.43</f>
        <v>2500000</v>
      </c>
      <c r="I54" s="14">
        <f>2058796.06+91203.94</f>
        <v>2150000</v>
      </c>
      <c r="J54" s="14"/>
      <c r="K54" s="15">
        <v>42940</v>
      </c>
      <c r="L54" s="15">
        <v>43119</v>
      </c>
      <c r="M54" s="88">
        <v>2150000</v>
      </c>
      <c r="N54" s="16">
        <v>1</v>
      </c>
      <c r="O54" s="16">
        <f t="shared" si="1"/>
        <v>1</v>
      </c>
      <c r="P54" s="17" t="s">
        <v>21</v>
      </c>
      <c r="S54" s="86"/>
    </row>
    <row r="55" spans="2:19" s="18" customFormat="1" ht="24" x14ac:dyDescent="0.25">
      <c r="B55" s="8">
        <f t="shared" si="2"/>
        <v>50</v>
      </c>
      <c r="C55" s="9"/>
      <c r="D55" s="10" t="s">
        <v>138</v>
      </c>
      <c r="E55" s="11" t="s">
        <v>139</v>
      </c>
      <c r="F55" s="12" t="s">
        <v>33</v>
      </c>
      <c r="G55" s="13">
        <f t="shared" si="3"/>
        <v>2279381.1100000003</v>
      </c>
      <c r="H55" s="14">
        <f>1435776.35-25523.26</f>
        <v>1410253.09</v>
      </c>
      <c r="I55" s="14">
        <f>884857.8-15729.78</f>
        <v>869128.02</v>
      </c>
      <c r="J55" s="14"/>
      <c r="K55" s="15">
        <v>42933</v>
      </c>
      <c r="L55" s="15">
        <v>43052</v>
      </c>
      <c r="M55" s="88">
        <v>869128.02</v>
      </c>
      <c r="N55" s="16">
        <v>1</v>
      </c>
      <c r="O55" s="16">
        <f t="shared" si="1"/>
        <v>1</v>
      </c>
      <c r="P55" s="17" t="s">
        <v>21</v>
      </c>
      <c r="S55" s="86"/>
    </row>
    <row r="56" spans="2:19" s="18" customFormat="1" ht="48" x14ac:dyDescent="0.25">
      <c r="B56" s="8">
        <f t="shared" si="2"/>
        <v>51</v>
      </c>
      <c r="C56" s="9"/>
      <c r="D56" s="10" t="s">
        <v>140</v>
      </c>
      <c r="E56" s="11" t="s">
        <v>141</v>
      </c>
      <c r="F56" s="12" t="s">
        <v>20</v>
      </c>
      <c r="G56" s="13">
        <f t="shared" si="3"/>
        <v>7493837.602</v>
      </c>
      <c r="H56" s="14">
        <f>3061929.63+332029.42</f>
        <v>3393959.05</v>
      </c>
      <c r="I56" s="14">
        <f>3698789.35+401089.202</f>
        <v>4099878.5520000001</v>
      </c>
      <c r="J56" s="14"/>
      <c r="K56" s="15">
        <v>42933</v>
      </c>
      <c r="L56" s="15">
        <v>43052</v>
      </c>
      <c r="M56" s="88">
        <v>4099878.55</v>
      </c>
      <c r="N56" s="16">
        <v>1</v>
      </c>
      <c r="O56" s="16">
        <f t="shared" si="1"/>
        <v>0.99999999951218055</v>
      </c>
      <c r="P56" s="17" t="s">
        <v>21</v>
      </c>
      <c r="S56" s="86"/>
    </row>
    <row r="57" spans="2:19" s="18" customFormat="1" ht="24" x14ac:dyDescent="0.25">
      <c r="B57" s="8">
        <f t="shared" si="2"/>
        <v>52</v>
      </c>
      <c r="C57" s="9"/>
      <c r="D57" s="10" t="s">
        <v>142</v>
      </c>
      <c r="E57" s="11" t="s">
        <v>143</v>
      </c>
      <c r="F57" s="12" t="s">
        <v>20</v>
      </c>
      <c r="G57" s="13">
        <f t="shared" si="3"/>
        <v>4414411.32</v>
      </c>
      <c r="H57" s="14">
        <v>2207205.66</v>
      </c>
      <c r="I57" s="14">
        <v>2207205.66</v>
      </c>
      <c r="J57" s="14"/>
      <c r="K57" s="15">
        <v>42905</v>
      </c>
      <c r="L57" s="15">
        <v>43053</v>
      </c>
      <c r="M57" s="88">
        <v>1701418.95</v>
      </c>
      <c r="N57" s="16">
        <v>0.61</v>
      </c>
      <c r="O57" s="16">
        <f t="shared" si="1"/>
        <v>0.77084749320550394</v>
      </c>
      <c r="P57" s="17" t="s">
        <v>21</v>
      </c>
      <c r="S57" s="86"/>
    </row>
    <row r="58" spans="2:19" s="18" customFormat="1" ht="48" x14ac:dyDescent="0.25">
      <c r="B58" s="8">
        <f t="shared" si="2"/>
        <v>53</v>
      </c>
      <c r="C58" s="9"/>
      <c r="D58" s="10" t="s">
        <v>144</v>
      </c>
      <c r="E58" s="11" t="s">
        <v>145</v>
      </c>
      <c r="F58" s="12" t="s">
        <v>146</v>
      </c>
      <c r="G58" s="13">
        <f t="shared" si="3"/>
        <v>7099419.9100000001</v>
      </c>
      <c r="H58" s="14">
        <f>6079710.09+20111.5</f>
        <v>6099821.5899999999</v>
      </c>
      <c r="I58" s="14">
        <f>972709.82+26888.5</f>
        <v>999598.32</v>
      </c>
      <c r="J58" s="14"/>
      <c r="K58" s="15">
        <v>39252</v>
      </c>
      <c r="L58" s="15">
        <v>43024</v>
      </c>
      <c r="M58" s="88">
        <v>999598.32</v>
      </c>
      <c r="N58" s="16">
        <v>1</v>
      </c>
      <c r="O58" s="16">
        <f t="shared" si="1"/>
        <v>1</v>
      </c>
      <c r="P58" s="17" t="s">
        <v>21</v>
      </c>
      <c r="S58" s="86"/>
    </row>
    <row r="59" spans="2:19" s="18" customFormat="1" ht="36" x14ac:dyDescent="0.25">
      <c r="B59" s="8">
        <f t="shared" si="2"/>
        <v>54</v>
      </c>
      <c r="C59" s="9"/>
      <c r="D59" s="10" t="s">
        <v>147</v>
      </c>
      <c r="E59" s="11" t="s">
        <v>148</v>
      </c>
      <c r="F59" s="12" t="s">
        <v>149</v>
      </c>
      <c r="G59" s="13">
        <f t="shared" si="3"/>
        <v>2198454.9699999997</v>
      </c>
      <c r="H59" s="14">
        <f>956183.51+188424.76-45380.78</f>
        <v>1099227.49</v>
      </c>
      <c r="I59" s="14">
        <f>956183.52+188424.75-45380.79</f>
        <v>1099227.48</v>
      </c>
      <c r="J59" s="14"/>
      <c r="K59" s="15">
        <v>42919</v>
      </c>
      <c r="L59" s="15">
        <v>43067</v>
      </c>
      <c r="M59" s="88">
        <v>1099227.48</v>
      </c>
      <c r="N59" s="16">
        <v>1</v>
      </c>
      <c r="O59" s="16">
        <f t="shared" si="1"/>
        <v>1</v>
      </c>
      <c r="P59" s="17" t="s">
        <v>21</v>
      </c>
      <c r="S59" s="86"/>
    </row>
    <row r="60" spans="2:19" s="18" customFormat="1" ht="24" x14ac:dyDescent="0.25">
      <c r="B60" s="8">
        <f t="shared" si="2"/>
        <v>55</v>
      </c>
      <c r="C60" s="9"/>
      <c r="D60" s="10" t="s">
        <v>150</v>
      </c>
      <c r="E60" s="11" t="s">
        <v>151</v>
      </c>
      <c r="F60" s="12" t="s">
        <v>20</v>
      </c>
      <c r="G60" s="13">
        <f t="shared" si="3"/>
        <v>1283183.23</v>
      </c>
      <c r="H60" s="14">
        <f>1093066.52-10573.15</f>
        <v>1082493.3700000001</v>
      </c>
      <c r="I60" s="14">
        <f>171471.33+29218.53</f>
        <v>200689.86</v>
      </c>
      <c r="J60" s="14"/>
      <c r="K60" s="15">
        <v>42905</v>
      </c>
      <c r="L60" s="15">
        <v>42994</v>
      </c>
      <c r="M60" s="88">
        <v>200689.86</v>
      </c>
      <c r="N60" s="16">
        <v>1</v>
      </c>
      <c r="O60" s="16">
        <f t="shared" si="1"/>
        <v>1</v>
      </c>
      <c r="P60" s="17" t="s">
        <v>34</v>
      </c>
      <c r="S60" s="86"/>
    </row>
    <row r="61" spans="2:19" s="18" customFormat="1" ht="24" x14ac:dyDescent="0.25">
      <c r="B61" s="8">
        <f t="shared" si="2"/>
        <v>56</v>
      </c>
      <c r="C61" s="9"/>
      <c r="D61" s="10" t="s">
        <v>152</v>
      </c>
      <c r="E61" s="11" t="s">
        <v>153</v>
      </c>
      <c r="F61" s="12" t="s">
        <v>20</v>
      </c>
      <c r="G61" s="13">
        <f t="shared" si="3"/>
        <v>676892.40999999992</v>
      </c>
      <c r="H61" s="14">
        <v>506721.66</v>
      </c>
      <c r="I61" s="14">
        <v>170170.75</v>
      </c>
      <c r="J61" s="14"/>
      <c r="K61" s="15">
        <v>42905</v>
      </c>
      <c r="L61" s="15">
        <v>42994</v>
      </c>
      <c r="M61" s="88">
        <v>170170.75</v>
      </c>
      <c r="N61" s="16">
        <v>1</v>
      </c>
      <c r="O61" s="16">
        <f t="shared" si="1"/>
        <v>1</v>
      </c>
      <c r="P61" s="17" t="s">
        <v>34</v>
      </c>
      <c r="S61" s="86"/>
    </row>
    <row r="62" spans="2:19" s="18" customFormat="1" ht="42.75" customHeight="1" x14ac:dyDescent="0.25">
      <c r="B62" s="8">
        <f t="shared" si="2"/>
        <v>57</v>
      </c>
      <c r="C62" s="9"/>
      <c r="D62" s="10" t="s">
        <v>154</v>
      </c>
      <c r="E62" s="20" t="s">
        <v>155</v>
      </c>
      <c r="F62" s="20" t="s">
        <v>104</v>
      </c>
      <c r="G62" s="13">
        <f t="shared" si="3"/>
        <v>2776763.0300000003</v>
      </c>
      <c r="H62" s="21">
        <f>1179630.93+10245.34</f>
        <v>1189876.27</v>
      </c>
      <c r="I62" s="21">
        <f>1239132.5+10867.5</f>
        <v>1250000</v>
      </c>
      <c r="J62" s="22">
        <v>336886.76</v>
      </c>
      <c r="K62" s="15">
        <v>42948</v>
      </c>
      <c r="L62" s="15">
        <v>43138</v>
      </c>
      <c r="M62" s="88">
        <v>1250000</v>
      </c>
      <c r="N62" s="16">
        <v>1</v>
      </c>
      <c r="O62" s="16">
        <f t="shared" si="1"/>
        <v>1</v>
      </c>
      <c r="P62" s="17" t="s">
        <v>21</v>
      </c>
      <c r="S62" s="86"/>
    </row>
    <row r="63" spans="2:19" s="18" customFormat="1" ht="33.75" customHeight="1" x14ac:dyDescent="0.25">
      <c r="B63" s="8">
        <f t="shared" si="2"/>
        <v>58</v>
      </c>
      <c r="C63" s="9"/>
      <c r="D63" s="10" t="s">
        <v>156</v>
      </c>
      <c r="E63" s="20" t="s">
        <v>75</v>
      </c>
      <c r="F63" s="20" t="s">
        <v>157</v>
      </c>
      <c r="G63" s="13">
        <f t="shared" si="3"/>
        <v>1683347.0499999998</v>
      </c>
      <c r="H63" s="21">
        <f>618874.48-12532.87</f>
        <v>606341.61</v>
      </c>
      <c r="I63" s="21">
        <f>1099266.78-22261.34</f>
        <v>1077005.44</v>
      </c>
      <c r="J63" s="23"/>
      <c r="K63" s="15">
        <v>42948</v>
      </c>
      <c r="L63" s="15">
        <v>43067</v>
      </c>
      <c r="M63" s="88">
        <v>1077005.44</v>
      </c>
      <c r="N63" s="16">
        <v>1</v>
      </c>
      <c r="O63" s="16">
        <f t="shared" si="1"/>
        <v>1</v>
      </c>
      <c r="P63" s="17" t="s">
        <v>21</v>
      </c>
      <c r="S63" s="86"/>
    </row>
    <row r="64" spans="2:19" s="18" customFormat="1" ht="48" x14ac:dyDescent="0.25">
      <c r="B64" s="8">
        <f t="shared" si="2"/>
        <v>59</v>
      </c>
      <c r="C64" s="9"/>
      <c r="D64" s="10" t="s">
        <v>158</v>
      </c>
      <c r="E64" s="20" t="s">
        <v>159</v>
      </c>
      <c r="F64" s="11" t="s">
        <v>160</v>
      </c>
      <c r="G64" s="13">
        <f t="shared" si="3"/>
        <v>1564972.75</v>
      </c>
      <c r="H64" s="21">
        <v>1108470.2</v>
      </c>
      <c r="I64" s="21">
        <v>456502.55</v>
      </c>
      <c r="J64" s="23"/>
      <c r="K64" s="15">
        <v>42975</v>
      </c>
      <c r="L64" s="15">
        <v>43094</v>
      </c>
      <c r="M64" s="88">
        <v>456502.55000000005</v>
      </c>
      <c r="N64" s="16">
        <v>1</v>
      </c>
      <c r="O64" s="16">
        <f t="shared" si="1"/>
        <v>1.0000000000000002</v>
      </c>
      <c r="P64" s="17" t="s">
        <v>21</v>
      </c>
      <c r="S64" s="86"/>
    </row>
    <row r="65" spans="2:19" s="18" customFormat="1" ht="36" x14ac:dyDescent="0.25">
      <c r="B65" s="8">
        <f t="shared" si="2"/>
        <v>60</v>
      </c>
      <c r="C65" s="9"/>
      <c r="D65" s="10" t="s">
        <v>161</v>
      </c>
      <c r="E65" s="20" t="s">
        <v>162</v>
      </c>
      <c r="F65" s="11" t="s">
        <v>163</v>
      </c>
      <c r="G65" s="13">
        <f t="shared" si="3"/>
        <v>4268028.58</v>
      </c>
      <c r="H65" s="21">
        <f>3875480.91+192547.67</f>
        <v>4068028.58</v>
      </c>
      <c r="I65" s="21">
        <f>190704.08+9295.92</f>
        <v>200000</v>
      </c>
      <c r="J65" s="23"/>
      <c r="K65" s="15">
        <v>42975</v>
      </c>
      <c r="L65" s="15">
        <v>43225</v>
      </c>
      <c r="M65" s="88">
        <v>170141.47</v>
      </c>
      <c r="N65" s="16">
        <v>0.85</v>
      </c>
      <c r="O65" s="16">
        <f t="shared" si="1"/>
        <v>0.85070734999999997</v>
      </c>
      <c r="P65" s="17" t="s">
        <v>21</v>
      </c>
      <c r="S65" s="86"/>
    </row>
    <row r="66" spans="2:19" s="18" customFormat="1" ht="36" x14ac:dyDescent="0.25">
      <c r="B66" s="8">
        <f t="shared" si="2"/>
        <v>61</v>
      </c>
      <c r="C66" s="9"/>
      <c r="D66" s="10" t="s">
        <v>164</v>
      </c>
      <c r="E66" s="20" t="s">
        <v>165</v>
      </c>
      <c r="F66" s="11" t="s">
        <v>20</v>
      </c>
      <c r="G66" s="13">
        <f t="shared" si="3"/>
        <v>1766494.6199999999</v>
      </c>
      <c r="H66" s="21">
        <f>899797.34-16550.03</f>
        <v>883247.30999999994</v>
      </c>
      <c r="I66" s="21">
        <f>899797.34-16550.03</f>
        <v>883247.30999999994</v>
      </c>
      <c r="J66" s="23"/>
      <c r="K66" s="15">
        <v>42948</v>
      </c>
      <c r="L66" s="15">
        <v>43067</v>
      </c>
      <c r="M66" s="88">
        <v>883247.31</v>
      </c>
      <c r="N66" s="16">
        <v>1</v>
      </c>
      <c r="O66" s="16">
        <f t="shared" si="1"/>
        <v>1.0000000000000002</v>
      </c>
      <c r="P66" s="17" t="s">
        <v>21</v>
      </c>
      <c r="S66" s="86"/>
    </row>
    <row r="67" spans="2:19" s="18" customFormat="1" ht="36" x14ac:dyDescent="0.25">
      <c r="B67" s="8">
        <f t="shared" si="2"/>
        <v>62</v>
      </c>
      <c r="C67" s="9"/>
      <c r="D67" s="10" t="s">
        <v>166</v>
      </c>
      <c r="E67" s="20" t="s">
        <v>167</v>
      </c>
      <c r="F67" s="11" t="s">
        <v>20</v>
      </c>
      <c r="G67" s="13">
        <f t="shared" si="3"/>
        <v>2187499.42</v>
      </c>
      <c r="H67" s="21">
        <v>894191.18</v>
      </c>
      <c r="I67" s="21">
        <v>894191.18</v>
      </c>
      <c r="J67" s="24">
        <f>207.31+398909.75</f>
        <v>399117.06</v>
      </c>
      <c r="K67" s="15">
        <v>42948</v>
      </c>
      <c r="L67" s="15">
        <v>43141</v>
      </c>
      <c r="M67" s="88">
        <v>804601.38000000012</v>
      </c>
      <c r="N67" s="16">
        <v>0.9</v>
      </c>
      <c r="O67" s="16">
        <f t="shared" si="1"/>
        <v>0.89980912135590518</v>
      </c>
      <c r="P67" s="17" t="s">
        <v>21</v>
      </c>
      <c r="S67" s="86"/>
    </row>
    <row r="68" spans="2:19" s="18" customFormat="1" ht="48" x14ac:dyDescent="0.25">
      <c r="B68" s="8">
        <f t="shared" si="2"/>
        <v>63</v>
      </c>
      <c r="C68" s="9"/>
      <c r="D68" s="10" t="s">
        <v>168</v>
      </c>
      <c r="E68" s="20" t="s">
        <v>169</v>
      </c>
      <c r="F68" s="11" t="s">
        <v>20</v>
      </c>
      <c r="G68" s="13">
        <f t="shared" si="3"/>
        <v>2124278.1100000003</v>
      </c>
      <c r="H68" s="21">
        <f>924824.79+14836.93</f>
        <v>939661.72000000009</v>
      </c>
      <c r="I68" s="21">
        <f>924824.79+14836.94</f>
        <v>939661.73</v>
      </c>
      <c r="J68" s="24">
        <v>244954.66</v>
      </c>
      <c r="K68" s="15">
        <v>42948</v>
      </c>
      <c r="L68" s="15">
        <v>43067</v>
      </c>
      <c r="M68" s="88">
        <v>939661.7300000001</v>
      </c>
      <c r="N68" s="16">
        <v>1</v>
      </c>
      <c r="O68" s="16">
        <f t="shared" si="1"/>
        <v>1.0000000000000002</v>
      </c>
      <c r="P68" s="17" t="s">
        <v>21</v>
      </c>
      <c r="S68" s="86"/>
    </row>
    <row r="69" spans="2:19" s="18" customFormat="1" ht="27" customHeight="1" x14ac:dyDescent="0.25">
      <c r="B69" s="8">
        <f t="shared" si="2"/>
        <v>64</v>
      </c>
      <c r="C69" s="9"/>
      <c r="D69" s="10" t="s">
        <v>170</v>
      </c>
      <c r="E69" s="20" t="s">
        <v>171</v>
      </c>
      <c r="F69" s="11" t="s">
        <v>172</v>
      </c>
      <c r="G69" s="13">
        <f t="shared" si="3"/>
        <v>3162492.95</v>
      </c>
      <c r="H69" s="21">
        <v>1581246.47</v>
      </c>
      <c r="I69" s="21">
        <v>1581246.48</v>
      </c>
      <c r="J69" s="23"/>
      <c r="K69" s="15">
        <v>43012</v>
      </c>
      <c r="L69" s="15">
        <v>43159</v>
      </c>
      <c r="M69" s="88">
        <v>1581246.4800000002</v>
      </c>
      <c r="N69" s="16">
        <v>1</v>
      </c>
      <c r="O69" s="16">
        <f t="shared" si="1"/>
        <v>1.0000000000000002</v>
      </c>
      <c r="P69" s="17" t="s">
        <v>21</v>
      </c>
      <c r="S69" s="86"/>
    </row>
    <row r="70" spans="2:19" s="18" customFormat="1" ht="27" customHeight="1" x14ac:dyDescent="0.25">
      <c r="B70" s="8">
        <f t="shared" si="2"/>
        <v>65</v>
      </c>
      <c r="C70" s="9"/>
      <c r="D70" s="10" t="s">
        <v>173</v>
      </c>
      <c r="E70" s="20" t="s">
        <v>174</v>
      </c>
      <c r="F70" s="11" t="s">
        <v>57</v>
      </c>
      <c r="G70" s="13">
        <f t="shared" si="3"/>
        <v>1544650.48</v>
      </c>
      <c r="H70" s="21">
        <v>772325.24</v>
      </c>
      <c r="I70" s="21">
        <v>772325.24</v>
      </c>
      <c r="J70" s="23"/>
      <c r="K70" s="15">
        <v>42975</v>
      </c>
      <c r="L70" s="15">
        <v>43094</v>
      </c>
      <c r="M70" s="88">
        <v>772325.24</v>
      </c>
      <c r="N70" s="16">
        <v>1</v>
      </c>
      <c r="O70" s="16">
        <f t="shared" si="1"/>
        <v>1</v>
      </c>
      <c r="P70" s="17" t="s">
        <v>21</v>
      </c>
      <c r="S70" s="86"/>
    </row>
    <row r="71" spans="2:19" s="18" customFormat="1" ht="27" customHeight="1" x14ac:dyDescent="0.25">
      <c r="B71" s="8">
        <f t="shared" si="2"/>
        <v>66</v>
      </c>
      <c r="C71" s="9"/>
      <c r="D71" s="10" t="s">
        <v>175</v>
      </c>
      <c r="E71" s="20" t="s">
        <v>176</v>
      </c>
      <c r="F71" s="19" t="s">
        <v>177</v>
      </c>
      <c r="G71" s="13">
        <f t="shared" si="3"/>
        <v>825489.5</v>
      </c>
      <c r="H71" s="21">
        <v>469043.13</v>
      </c>
      <c r="I71" s="21">
        <v>356446.37</v>
      </c>
      <c r="J71" s="23"/>
      <c r="K71" s="15">
        <v>42949</v>
      </c>
      <c r="L71" s="15">
        <v>43038</v>
      </c>
      <c r="M71" s="88">
        <f>320141.66+36304.71</f>
        <v>356446.37</v>
      </c>
      <c r="N71" s="16">
        <v>0.92</v>
      </c>
      <c r="O71" s="16">
        <f t="shared" ref="O71:O134" si="4">+M71/I71</f>
        <v>1</v>
      </c>
      <c r="P71" s="17" t="s">
        <v>34</v>
      </c>
      <c r="S71" s="86"/>
    </row>
    <row r="72" spans="2:19" s="18" customFormat="1" ht="48" x14ac:dyDescent="0.25">
      <c r="B72" s="8">
        <f t="shared" ref="B72:B135" si="5">+B71+1</f>
        <v>67</v>
      </c>
      <c r="C72" s="9"/>
      <c r="D72" s="10" t="s">
        <v>178</v>
      </c>
      <c r="E72" s="11" t="s">
        <v>179</v>
      </c>
      <c r="F72" s="11" t="s">
        <v>20</v>
      </c>
      <c r="G72" s="13">
        <f t="shared" si="3"/>
        <v>2067202.93</v>
      </c>
      <c r="H72" s="21">
        <v>1033601.46</v>
      </c>
      <c r="I72" s="21">
        <v>1033601.47</v>
      </c>
      <c r="J72" s="22"/>
      <c r="K72" s="15">
        <v>42961</v>
      </c>
      <c r="L72" s="15">
        <v>43109</v>
      </c>
      <c r="M72" s="88">
        <v>1033601.4699999999</v>
      </c>
      <c r="N72" s="16">
        <v>1</v>
      </c>
      <c r="O72" s="16">
        <f t="shared" si="4"/>
        <v>0.99999999999999989</v>
      </c>
      <c r="P72" s="17" t="s">
        <v>21</v>
      </c>
      <c r="S72" s="86"/>
    </row>
    <row r="73" spans="2:19" s="18" customFormat="1" ht="36" x14ac:dyDescent="0.25">
      <c r="B73" s="8">
        <f t="shared" si="5"/>
        <v>68</v>
      </c>
      <c r="C73" s="9"/>
      <c r="D73" s="10" t="s">
        <v>180</v>
      </c>
      <c r="E73" s="20" t="s">
        <v>181</v>
      </c>
      <c r="F73" s="11" t="s">
        <v>20</v>
      </c>
      <c r="G73" s="13">
        <f t="shared" si="3"/>
        <v>1864528.3099999998</v>
      </c>
      <c r="H73" s="21">
        <f>800624.94+131639.21</f>
        <v>932264.14999999991</v>
      </c>
      <c r="I73" s="21">
        <f>800624.94+131639.22</f>
        <v>932264.15999999992</v>
      </c>
      <c r="J73" s="23"/>
      <c r="K73" s="15">
        <v>43010</v>
      </c>
      <c r="L73" s="15">
        <v>43242</v>
      </c>
      <c r="M73" s="88">
        <v>317252.38</v>
      </c>
      <c r="N73" s="16">
        <v>0.13750000000000001</v>
      </c>
      <c r="O73" s="16">
        <f t="shared" si="4"/>
        <v>0.34030309606667708</v>
      </c>
      <c r="P73" s="17" t="s">
        <v>34</v>
      </c>
      <c r="S73" s="86"/>
    </row>
    <row r="74" spans="2:19" s="18" customFormat="1" ht="48" x14ac:dyDescent="0.25">
      <c r="B74" s="8">
        <f t="shared" si="5"/>
        <v>69</v>
      </c>
      <c r="C74" s="9"/>
      <c r="D74" s="10" t="s">
        <v>182</v>
      </c>
      <c r="E74" s="20" t="s">
        <v>183</v>
      </c>
      <c r="F74" s="11" t="s">
        <v>160</v>
      </c>
      <c r="G74" s="13">
        <f t="shared" si="3"/>
        <v>2133821.2200000002</v>
      </c>
      <c r="H74" s="21">
        <v>1104039.1000000001</v>
      </c>
      <c r="I74" s="21">
        <v>1029782.12</v>
      </c>
      <c r="J74" s="23"/>
      <c r="K74" s="15">
        <v>42961</v>
      </c>
      <c r="L74" s="15">
        <v>43080</v>
      </c>
      <c r="M74" s="88">
        <v>926761.96</v>
      </c>
      <c r="N74" s="16">
        <v>0.94</v>
      </c>
      <c r="O74" s="16">
        <f t="shared" si="4"/>
        <v>0.89995926516960689</v>
      </c>
      <c r="P74" s="17" t="s">
        <v>21</v>
      </c>
      <c r="S74" s="86"/>
    </row>
    <row r="75" spans="2:19" s="18" customFormat="1" ht="24" x14ac:dyDescent="0.25">
      <c r="B75" s="8">
        <f t="shared" si="5"/>
        <v>70</v>
      </c>
      <c r="C75" s="9"/>
      <c r="D75" s="10" t="s">
        <v>184</v>
      </c>
      <c r="E75" s="20" t="s">
        <v>185</v>
      </c>
      <c r="F75" s="11" t="s">
        <v>186</v>
      </c>
      <c r="G75" s="13">
        <f t="shared" si="3"/>
        <v>3190578.1900000004</v>
      </c>
      <c r="H75" s="21">
        <v>1595289.09</v>
      </c>
      <c r="I75" s="21">
        <v>1595289.1</v>
      </c>
      <c r="J75" s="23"/>
      <c r="K75" s="15">
        <v>42970</v>
      </c>
      <c r="L75" s="15">
        <v>43149</v>
      </c>
      <c r="M75" s="88">
        <v>1427541.75</v>
      </c>
      <c r="N75" s="16">
        <v>1</v>
      </c>
      <c r="O75" s="16">
        <f t="shared" si="4"/>
        <v>0.89484830680533067</v>
      </c>
      <c r="P75" s="17" t="s">
        <v>21</v>
      </c>
      <c r="S75" s="86"/>
    </row>
    <row r="76" spans="2:19" s="18" customFormat="1" ht="36" x14ac:dyDescent="0.25">
      <c r="B76" s="8">
        <f t="shared" si="5"/>
        <v>71</v>
      </c>
      <c r="C76" s="9"/>
      <c r="D76" s="10" t="s">
        <v>187</v>
      </c>
      <c r="E76" s="20" t="s">
        <v>188</v>
      </c>
      <c r="F76" s="11" t="s">
        <v>20</v>
      </c>
      <c r="G76" s="13">
        <f t="shared" si="3"/>
        <v>2082973.53</v>
      </c>
      <c r="H76" s="21">
        <v>1041486.76</v>
      </c>
      <c r="I76" s="21">
        <v>1041486.77</v>
      </c>
      <c r="J76" s="23"/>
      <c r="K76" s="15">
        <v>42961</v>
      </c>
      <c r="L76" s="15">
        <v>43080</v>
      </c>
      <c r="M76" s="88">
        <v>1041486.77</v>
      </c>
      <c r="N76" s="16">
        <v>1</v>
      </c>
      <c r="O76" s="16">
        <f t="shared" si="4"/>
        <v>1</v>
      </c>
      <c r="P76" s="17" t="s">
        <v>21</v>
      </c>
      <c r="S76" s="86"/>
    </row>
    <row r="77" spans="2:19" s="18" customFormat="1" ht="24" x14ac:dyDescent="0.25">
      <c r="B77" s="8">
        <f t="shared" si="5"/>
        <v>72</v>
      </c>
      <c r="C77" s="9"/>
      <c r="D77" s="10" t="s">
        <v>189</v>
      </c>
      <c r="E77" s="20" t="s">
        <v>190</v>
      </c>
      <c r="F77" s="11" t="s">
        <v>20</v>
      </c>
      <c r="G77" s="13">
        <f t="shared" si="3"/>
        <v>2306117.9400000004</v>
      </c>
      <c r="H77" s="21">
        <f>1155863.33+74769.04-79573.4</f>
        <v>1151058.9700000002</v>
      </c>
      <c r="I77" s="21">
        <f>1155863.33+74769.04-75573.4</f>
        <v>1155058.9700000002</v>
      </c>
      <c r="J77" s="23"/>
      <c r="K77" s="15">
        <v>42996</v>
      </c>
      <c r="L77" s="15">
        <v>43169</v>
      </c>
      <c r="M77" s="88">
        <v>1039049.93</v>
      </c>
      <c r="N77" s="16">
        <v>0.91</v>
      </c>
      <c r="O77" s="16">
        <f t="shared" si="4"/>
        <v>0.89956440059506215</v>
      </c>
      <c r="P77" s="17" t="s">
        <v>21</v>
      </c>
      <c r="S77" s="86"/>
    </row>
    <row r="78" spans="2:19" s="18" customFormat="1" ht="24" x14ac:dyDescent="0.25">
      <c r="B78" s="8">
        <f t="shared" si="5"/>
        <v>73</v>
      </c>
      <c r="C78" s="9"/>
      <c r="D78" s="10" t="s">
        <v>191</v>
      </c>
      <c r="E78" s="20" t="s">
        <v>192</v>
      </c>
      <c r="F78" s="11" t="s">
        <v>20</v>
      </c>
      <c r="G78" s="13">
        <f t="shared" si="3"/>
        <v>2175637.5300000003</v>
      </c>
      <c r="H78" s="21">
        <f>739551.13+51889.21-18653.89</f>
        <v>772786.45</v>
      </c>
      <c r="I78" s="21">
        <f>1342518.49+94039.05-33706.46</f>
        <v>1402851.08</v>
      </c>
      <c r="J78" s="23"/>
      <c r="K78" s="15">
        <v>42961</v>
      </c>
      <c r="L78" s="15">
        <v>43109</v>
      </c>
      <c r="M78" s="88">
        <v>1402851.08</v>
      </c>
      <c r="N78" s="16">
        <v>1</v>
      </c>
      <c r="O78" s="16">
        <f t="shared" si="4"/>
        <v>1</v>
      </c>
      <c r="P78" s="17" t="s">
        <v>21</v>
      </c>
      <c r="S78" s="86"/>
    </row>
    <row r="79" spans="2:19" s="18" customFormat="1" ht="24" x14ac:dyDescent="0.25">
      <c r="B79" s="8">
        <f t="shared" si="5"/>
        <v>74</v>
      </c>
      <c r="C79" s="9"/>
      <c r="D79" s="10" t="s">
        <v>193</v>
      </c>
      <c r="E79" s="20" t="s">
        <v>194</v>
      </c>
      <c r="F79" s="11" t="s">
        <v>20</v>
      </c>
      <c r="G79" s="13">
        <f t="shared" si="3"/>
        <v>1937122.85</v>
      </c>
      <c r="H79" s="21">
        <v>907348.34</v>
      </c>
      <c r="I79" s="21">
        <v>1029774.51</v>
      </c>
      <c r="J79" s="23"/>
      <c r="K79" s="15">
        <v>42961</v>
      </c>
      <c r="L79" s="15">
        <v>43080</v>
      </c>
      <c r="M79" s="88">
        <v>1029774.51</v>
      </c>
      <c r="N79" s="16">
        <v>1</v>
      </c>
      <c r="O79" s="16">
        <f t="shared" si="4"/>
        <v>1</v>
      </c>
      <c r="P79" s="17" t="s">
        <v>21</v>
      </c>
      <c r="S79" s="86"/>
    </row>
    <row r="80" spans="2:19" s="18" customFormat="1" ht="24" x14ac:dyDescent="0.25">
      <c r="B80" s="8">
        <f t="shared" si="5"/>
        <v>75</v>
      </c>
      <c r="C80" s="9"/>
      <c r="D80" s="10" t="s">
        <v>195</v>
      </c>
      <c r="E80" s="20" t="s">
        <v>196</v>
      </c>
      <c r="F80" s="11" t="s">
        <v>149</v>
      </c>
      <c r="G80" s="13">
        <f t="shared" si="3"/>
        <v>2949474.72</v>
      </c>
      <c r="H80" s="21">
        <f>1179204.99+105371.1</f>
        <v>1284576.0900000001</v>
      </c>
      <c r="I80" s="21">
        <f>1060500.59+94891.14</f>
        <v>1155391.73</v>
      </c>
      <c r="J80" s="23">
        <v>509506.9</v>
      </c>
      <c r="K80" s="15">
        <v>42961</v>
      </c>
      <c r="L80" s="15">
        <v>43080</v>
      </c>
      <c r="M80" s="88">
        <v>954484.77999999991</v>
      </c>
      <c r="N80" s="16">
        <v>0.92</v>
      </c>
      <c r="O80" s="16">
        <f t="shared" si="4"/>
        <v>0.82611356409829928</v>
      </c>
      <c r="P80" s="17" t="s">
        <v>21</v>
      </c>
      <c r="S80" s="86"/>
    </row>
    <row r="81" spans="2:19" s="18" customFormat="1" ht="36" x14ac:dyDescent="0.25">
      <c r="B81" s="8">
        <f t="shared" si="5"/>
        <v>76</v>
      </c>
      <c r="C81" s="9"/>
      <c r="D81" s="10" t="s">
        <v>197</v>
      </c>
      <c r="E81" s="20" t="s">
        <v>198</v>
      </c>
      <c r="F81" s="11" t="s">
        <v>199</v>
      </c>
      <c r="G81" s="13">
        <f t="shared" si="3"/>
        <v>6063490.0299999993</v>
      </c>
      <c r="H81" s="21">
        <f>2994867.11+36877.9</f>
        <v>3031745.01</v>
      </c>
      <c r="I81" s="21">
        <f>2994867.12+36877.9</f>
        <v>3031745.02</v>
      </c>
      <c r="J81" s="23"/>
      <c r="K81" s="15">
        <v>42961</v>
      </c>
      <c r="L81" s="15">
        <v>43080</v>
      </c>
      <c r="M81" s="88">
        <v>2586046.58</v>
      </c>
      <c r="N81" s="16">
        <v>0.88</v>
      </c>
      <c r="O81" s="16">
        <f t="shared" si="4"/>
        <v>0.85298947073062237</v>
      </c>
      <c r="P81" s="17" t="s">
        <v>21</v>
      </c>
      <c r="S81" s="86"/>
    </row>
    <row r="82" spans="2:19" s="18" customFormat="1" ht="24" x14ac:dyDescent="0.25">
      <c r="B82" s="8">
        <f t="shared" si="5"/>
        <v>77</v>
      </c>
      <c r="C82" s="9"/>
      <c r="D82" s="10" t="s">
        <v>200</v>
      </c>
      <c r="E82" s="20" t="s">
        <v>201</v>
      </c>
      <c r="F82" s="11" t="s">
        <v>186</v>
      </c>
      <c r="G82" s="13">
        <f t="shared" si="3"/>
        <v>1362795.27</v>
      </c>
      <c r="H82" s="21">
        <v>408.8</v>
      </c>
      <c r="I82" s="21">
        <v>1250000</v>
      </c>
      <c r="J82" s="23">
        <v>112386.47</v>
      </c>
      <c r="K82" s="15">
        <v>42968</v>
      </c>
      <c r="L82" s="15">
        <v>43072</v>
      </c>
      <c r="M82" s="88">
        <v>1120427.1200000001</v>
      </c>
      <c r="N82" s="16">
        <v>0.9</v>
      </c>
      <c r="O82" s="16">
        <f t="shared" si="4"/>
        <v>0.89634169600000013</v>
      </c>
      <c r="P82" s="17" t="s">
        <v>21</v>
      </c>
      <c r="S82" s="86"/>
    </row>
    <row r="83" spans="2:19" s="18" customFormat="1" ht="36" x14ac:dyDescent="0.25">
      <c r="B83" s="8">
        <f t="shared" si="5"/>
        <v>78</v>
      </c>
      <c r="C83" s="9"/>
      <c r="D83" s="10" t="s">
        <v>202</v>
      </c>
      <c r="E83" s="11" t="s">
        <v>203</v>
      </c>
      <c r="F83" s="11" t="s">
        <v>20</v>
      </c>
      <c r="G83" s="13">
        <f t="shared" si="3"/>
        <v>2180372.5700000003</v>
      </c>
      <c r="H83" s="21">
        <f>601066.02+42911.62</f>
        <v>643977.64</v>
      </c>
      <c r="I83" s="21">
        <f>1353620.23+96379.77</f>
        <v>1450000</v>
      </c>
      <c r="J83" s="24">
        <v>86394.93</v>
      </c>
      <c r="K83" s="15">
        <v>42975</v>
      </c>
      <c r="L83" s="15">
        <v>43094</v>
      </c>
      <c r="M83" s="88">
        <v>898208.78999999992</v>
      </c>
      <c r="N83" s="16">
        <v>1</v>
      </c>
      <c r="O83" s="16">
        <f t="shared" si="4"/>
        <v>0.61945433793103444</v>
      </c>
      <c r="P83" s="17" t="s">
        <v>21</v>
      </c>
      <c r="S83" s="86"/>
    </row>
    <row r="84" spans="2:19" s="18" customFormat="1" ht="24" x14ac:dyDescent="0.25">
      <c r="B84" s="8">
        <f t="shared" si="5"/>
        <v>79</v>
      </c>
      <c r="C84" s="9"/>
      <c r="D84" s="10" t="s">
        <v>204</v>
      </c>
      <c r="E84" s="11" t="s">
        <v>205</v>
      </c>
      <c r="F84" s="11" t="s">
        <v>20</v>
      </c>
      <c r="G84" s="13">
        <f t="shared" si="3"/>
        <v>2165864.9299999997</v>
      </c>
      <c r="H84" s="21">
        <f>1003336.73+79595.73</f>
        <v>1082932.46</v>
      </c>
      <c r="I84" s="21">
        <f>1003336.74+79595.73</f>
        <v>1082932.47</v>
      </c>
      <c r="J84" s="23"/>
      <c r="K84" s="15">
        <v>42975</v>
      </c>
      <c r="L84" s="15">
        <v>43094</v>
      </c>
      <c r="M84" s="88">
        <v>868921.4</v>
      </c>
      <c r="N84" s="16">
        <v>0.88</v>
      </c>
      <c r="O84" s="16">
        <f t="shared" si="4"/>
        <v>0.80237819445934611</v>
      </c>
      <c r="P84" s="17" t="s">
        <v>21</v>
      </c>
      <c r="S84" s="86"/>
    </row>
    <row r="85" spans="2:19" s="18" customFormat="1" ht="36" x14ac:dyDescent="0.25">
      <c r="B85" s="8">
        <f t="shared" si="5"/>
        <v>80</v>
      </c>
      <c r="C85" s="9"/>
      <c r="D85" s="10" t="s">
        <v>206</v>
      </c>
      <c r="E85" s="20" t="s">
        <v>207</v>
      </c>
      <c r="F85" s="11" t="s">
        <v>20</v>
      </c>
      <c r="G85" s="13">
        <f t="shared" si="3"/>
        <v>439669.03</v>
      </c>
      <c r="H85" s="21">
        <f>341361.21-1321.18</f>
        <v>340040.03</v>
      </c>
      <c r="I85" s="21">
        <f>100000-371</f>
        <v>99629</v>
      </c>
      <c r="J85" s="23"/>
      <c r="K85" s="15">
        <v>42968</v>
      </c>
      <c r="L85" s="15">
        <v>43072</v>
      </c>
      <c r="M85" s="88">
        <v>99629</v>
      </c>
      <c r="N85" s="16">
        <v>1</v>
      </c>
      <c r="O85" s="16">
        <f t="shared" si="4"/>
        <v>1</v>
      </c>
      <c r="P85" s="17" t="s">
        <v>34</v>
      </c>
      <c r="S85" s="86"/>
    </row>
    <row r="86" spans="2:19" s="18" customFormat="1" ht="36" x14ac:dyDescent="0.25">
      <c r="B86" s="8">
        <f t="shared" si="5"/>
        <v>81</v>
      </c>
      <c r="C86" s="9"/>
      <c r="D86" s="10" t="s">
        <v>208</v>
      </c>
      <c r="E86" s="20" t="s">
        <v>209</v>
      </c>
      <c r="F86" s="11" t="s">
        <v>20</v>
      </c>
      <c r="G86" s="13">
        <f t="shared" si="3"/>
        <v>1296215.18</v>
      </c>
      <c r="H86" s="21">
        <v>615395.88</v>
      </c>
      <c r="I86" s="21">
        <v>615395.88</v>
      </c>
      <c r="J86" s="24">
        <v>65423.42</v>
      </c>
      <c r="K86" s="15">
        <v>42968</v>
      </c>
      <c r="L86" s="15">
        <v>43057</v>
      </c>
      <c r="M86" s="88">
        <v>615395.88</v>
      </c>
      <c r="N86" s="16">
        <v>1</v>
      </c>
      <c r="O86" s="16">
        <f t="shared" si="4"/>
        <v>1</v>
      </c>
      <c r="P86" s="17" t="s">
        <v>34</v>
      </c>
      <c r="S86" s="86"/>
    </row>
    <row r="87" spans="2:19" s="18" customFormat="1" ht="36" x14ac:dyDescent="0.25">
      <c r="B87" s="8">
        <f t="shared" si="5"/>
        <v>82</v>
      </c>
      <c r="C87" s="9"/>
      <c r="D87" s="10" t="s">
        <v>210</v>
      </c>
      <c r="E87" s="20" t="s">
        <v>211</v>
      </c>
      <c r="F87" s="11" t="s">
        <v>20</v>
      </c>
      <c r="G87" s="13">
        <f t="shared" si="3"/>
        <v>1150562.45</v>
      </c>
      <c r="H87" s="21">
        <f>592772.69-17491.46</f>
        <v>575281.23</v>
      </c>
      <c r="I87" s="21">
        <f>592772.69-17491.47</f>
        <v>575281.22</v>
      </c>
      <c r="J87" s="23"/>
      <c r="K87" s="15">
        <v>42968</v>
      </c>
      <c r="L87" s="15">
        <v>43067</v>
      </c>
      <c r="M87" s="88">
        <v>575281.22</v>
      </c>
      <c r="N87" s="16">
        <v>1</v>
      </c>
      <c r="O87" s="16">
        <f t="shared" si="4"/>
        <v>1</v>
      </c>
      <c r="P87" s="17" t="s">
        <v>34</v>
      </c>
      <c r="S87" s="86"/>
    </row>
    <row r="88" spans="2:19" s="18" customFormat="1" ht="24" x14ac:dyDescent="0.25">
      <c r="B88" s="8">
        <f t="shared" si="5"/>
        <v>83</v>
      </c>
      <c r="C88" s="9"/>
      <c r="D88" s="10" t="s">
        <v>212</v>
      </c>
      <c r="E88" s="20" t="s">
        <v>213</v>
      </c>
      <c r="F88" s="11" t="s">
        <v>20</v>
      </c>
      <c r="G88" s="13">
        <f t="shared" si="3"/>
        <v>1311317.6499999999</v>
      </c>
      <c r="H88" s="21">
        <f>614928.71+66043.34-25313.23</f>
        <v>655658.81999999995</v>
      </c>
      <c r="I88" s="21">
        <f>614928.71+66043.35-25313.23</f>
        <v>655658.82999999996</v>
      </c>
      <c r="J88" s="23"/>
      <c r="K88" s="15">
        <v>42967</v>
      </c>
      <c r="L88" s="15">
        <v>43123</v>
      </c>
      <c r="M88" s="88">
        <v>518163.22999999992</v>
      </c>
      <c r="N88" s="16">
        <v>0.87</v>
      </c>
      <c r="O88" s="16">
        <f t="shared" si="4"/>
        <v>0.79029398566934572</v>
      </c>
      <c r="P88" s="17" t="s">
        <v>34</v>
      </c>
      <c r="S88" s="86"/>
    </row>
    <row r="89" spans="2:19" s="18" customFormat="1" ht="36" x14ac:dyDescent="0.25">
      <c r="B89" s="8">
        <f t="shared" si="5"/>
        <v>84</v>
      </c>
      <c r="C89" s="9"/>
      <c r="D89" s="10" t="s">
        <v>214</v>
      </c>
      <c r="E89" s="11" t="s">
        <v>215</v>
      </c>
      <c r="F89" s="11" t="s">
        <v>20</v>
      </c>
      <c r="G89" s="13">
        <f t="shared" si="3"/>
        <v>1035298.25</v>
      </c>
      <c r="H89" s="21">
        <v>517649.12</v>
      </c>
      <c r="I89" s="21">
        <v>517649.13</v>
      </c>
      <c r="J89" s="23"/>
      <c r="K89" s="15">
        <v>42975</v>
      </c>
      <c r="L89" s="15">
        <v>43094</v>
      </c>
      <c r="M89" s="88">
        <v>303829.5</v>
      </c>
      <c r="N89" s="16">
        <v>1</v>
      </c>
      <c r="O89" s="16">
        <f t="shared" si="4"/>
        <v>0.58694100384173353</v>
      </c>
      <c r="P89" s="17" t="s">
        <v>34</v>
      </c>
      <c r="S89" s="86"/>
    </row>
    <row r="90" spans="2:19" s="18" customFormat="1" ht="36" x14ac:dyDescent="0.25">
      <c r="B90" s="8">
        <f t="shared" si="5"/>
        <v>85</v>
      </c>
      <c r="C90" s="9"/>
      <c r="D90" s="10" t="s">
        <v>216</v>
      </c>
      <c r="E90" s="11" t="s">
        <v>217</v>
      </c>
      <c r="F90" s="11" t="s">
        <v>20</v>
      </c>
      <c r="G90" s="13">
        <f t="shared" si="3"/>
        <v>1791492.39</v>
      </c>
      <c r="H90" s="21">
        <f>825048.85+70697.34</f>
        <v>895746.19</v>
      </c>
      <c r="I90" s="21">
        <f>825048.86+70697.34</f>
        <v>895746.2</v>
      </c>
      <c r="J90" s="23"/>
      <c r="K90" s="15">
        <v>42996</v>
      </c>
      <c r="L90" s="15">
        <v>43115</v>
      </c>
      <c r="M90" s="88">
        <v>742051.17999999993</v>
      </c>
      <c r="N90" s="59">
        <v>0.95</v>
      </c>
      <c r="O90" s="16">
        <f t="shared" si="4"/>
        <v>0.82841677698437344</v>
      </c>
      <c r="P90" s="17" t="s">
        <v>21</v>
      </c>
      <c r="S90" s="86"/>
    </row>
    <row r="91" spans="2:19" s="18" customFormat="1" ht="36" x14ac:dyDescent="0.25">
      <c r="B91" s="8">
        <f t="shared" si="5"/>
        <v>86</v>
      </c>
      <c r="C91" s="9"/>
      <c r="D91" s="10" t="s">
        <v>218</v>
      </c>
      <c r="E91" s="11" t="s">
        <v>219</v>
      </c>
      <c r="F91" s="11" t="s">
        <v>20</v>
      </c>
      <c r="G91" s="13">
        <f t="shared" si="3"/>
        <v>1718567.32</v>
      </c>
      <c r="H91" s="21">
        <f>824773.77+34509.89</f>
        <v>859283.66</v>
      </c>
      <c r="I91" s="21">
        <f>824773.77+34509.89</f>
        <v>859283.66</v>
      </c>
      <c r="J91" s="23"/>
      <c r="K91" s="15">
        <v>42996</v>
      </c>
      <c r="L91" s="15">
        <v>43115</v>
      </c>
      <c r="M91" s="88">
        <v>742122.22</v>
      </c>
      <c r="N91" s="16">
        <v>0.95</v>
      </c>
      <c r="O91" s="16">
        <f t="shared" si="4"/>
        <v>0.86365219606293919</v>
      </c>
      <c r="P91" s="17" t="s">
        <v>21</v>
      </c>
      <c r="S91" s="86"/>
    </row>
    <row r="92" spans="2:19" s="18" customFormat="1" ht="36" x14ac:dyDescent="0.25">
      <c r="B92" s="8">
        <f t="shared" si="5"/>
        <v>87</v>
      </c>
      <c r="C92" s="9"/>
      <c r="D92" s="10" t="s">
        <v>220</v>
      </c>
      <c r="E92" s="11" t="s">
        <v>221</v>
      </c>
      <c r="F92" s="11" t="s">
        <v>20</v>
      </c>
      <c r="G92" s="13">
        <f t="shared" si="3"/>
        <v>3000266.29</v>
      </c>
      <c r="H92" s="21">
        <f>1380806.02+119327.12</f>
        <v>1500133.1400000001</v>
      </c>
      <c r="I92" s="21">
        <f>1380806.03+119327.12</f>
        <v>1500133.15</v>
      </c>
      <c r="J92" s="23"/>
      <c r="K92" s="15">
        <v>43040</v>
      </c>
      <c r="L92" s="15">
        <v>43159</v>
      </c>
      <c r="M92" s="88">
        <v>770761.32</v>
      </c>
      <c r="N92" s="16">
        <v>0.91</v>
      </c>
      <c r="O92" s="16">
        <f t="shared" si="4"/>
        <v>0.51379527210634601</v>
      </c>
      <c r="P92" s="17" t="s">
        <v>21</v>
      </c>
      <c r="S92" s="86"/>
    </row>
    <row r="93" spans="2:19" s="18" customFormat="1" ht="36" x14ac:dyDescent="0.25">
      <c r="B93" s="8">
        <f t="shared" si="5"/>
        <v>88</v>
      </c>
      <c r="C93" s="9"/>
      <c r="D93" s="10" t="s">
        <v>222</v>
      </c>
      <c r="E93" s="11" t="s">
        <v>223</v>
      </c>
      <c r="F93" s="11" t="s">
        <v>199</v>
      </c>
      <c r="G93" s="13">
        <f t="shared" si="3"/>
        <v>2468269.8899999997</v>
      </c>
      <c r="H93" s="21">
        <f>1353458.18+96556.73</f>
        <v>1450014.91</v>
      </c>
      <c r="I93" s="21">
        <f>950300.42+67954.56</f>
        <v>1018254.98</v>
      </c>
      <c r="J93" s="23"/>
      <c r="K93" s="15">
        <v>43115</v>
      </c>
      <c r="L93" s="15">
        <v>43234</v>
      </c>
      <c r="M93" s="88">
        <v>285090.13</v>
      </c>
      <c r="N93" s="16">
        <v>0.35</v>
      </c>
      <c r="O93" s="16">
        <f t="shared" si="4"/>
        <v>0.27997911682199678</v>
      </c>
      <c r="P93" s="17" t="s">
        <v>21</v>
      </c>
      <c r="S93" s="86"/>
    </row>
    <row r="94" spans="2:19" s="18" customFormat="1" ht="36" x14ac:dyDescent="0.25">
      <c r="B94" s="8">
        <f t="shared" si="5"/>
        <v>89</v>
      </c>
      <c r="C94" s="9"/>
      <c r="D94" s="10" t="s">
        <v>224</v>
      </c>
      <c r="E94" s="11" t="s">
        <v>225</v>
      </c>
      <c r="F94" s="12" t="s">
        <v>226</v>
      </c>
      <c r="G94" s="13">
        <f t="shared" si="3"/>
        <v>3667260.4699999997</v>
      </c>
      <c r="H94" s="21">
        <f>1698466.66+135163.57</f>
        <v>1833630.23</v>
      </c>
      <c r="I94" s="21">
        <f>1698466.67+135163.57</f>
        <v>1833630.24</v>
      </c>
      <c r="J94" s="23"/>
      <c r="K94" s="15">
        <v>42996</v>
      </c>
      <c r="L94" s="15">
        <v>43160</v>
      </c>
      <c r="M94" s="88">
        <v>886395.82</v>
      </c>
      <c r="N94" s="16">
        <v>0.92</v>
      </c>
      <c r="O94" s="16">
        <f t="shared" si="4"/>
        <v>0.48341034122561155</v>
      </c>
      <c r="P94" s="17" t="s">
        <v>21</v>
      </c>
      <c r="S94" s="86"/>
    </row>
    <row r="95" spans="2:19" s="18" customFormat="1" ht="24" x14ac:dyDescent="0.25">
      <c r="B95" s="8">
        <f t="shared" si="5"/>
        <v>90</v>
      </c>
      <c r="C95" s="9"/>
      <c r="D95" s="10" t="s">
        <v>227</v>
      </c>
      <c r="E95" s="11" t="s">
        <v>228</v>
      </c>
      <c r="F95" s="12" t="s">
        <v>229</v>
      </c>
      <c r="G95" s="13">
        <f t="shared" si="3"/>
        <v>2645289.6799999997</v>
      </c>
      <c r="H95" s="21">
        <f>1055169.99+16688.4</f>
        <v>1071858.3899999999</v>
      </c>
      <c r="I95" s="21">
        <f>1548902.06+24529.23</f>
        <v>1573431.29</v>
      </c>
      <c r="J95" s="23"/>
      <c r="K95" s="15">
        <v>42996</v>
      </c>
      <c r="L95" s="15">
        <v>43115</v>
      </c>
      <c r="M95" s="88">
        <v>1370388</v>
      </c>
      <c r="N95" s="16">
        <v>0.85</v>
      </c>
      <c r="O95" s="16">
        <f t="shared" si="4"/>
        <v>0.87095509585296216</v>
      </c>
      <c r="P95" s="17" t="s">
        <v>21</v>
      </c>
      <c r="S95" s="86"/>
    </row>
    <row r="96" spans="2:19" s="18" customFormat="1" ht="24" x14ac:dyDescent="0.25">
      <c r="B96" s="8">
        <f t="shared" si="5"/>
        <v>91</v>
      </c>
      <c r="C96" s="9"/>
      <c r="D96" s="10" t="s">
        <v>230</v>
      </c>
      <c r="E96" s="11" t="s">
        <v>231</v>
      </c>
      <c r="F96" s="12" t="s">
        <v>186</v>
      </c>
      <c r="G96" s="13">
        <f t="shared" si="3"/>
        <v>3142578.04</v>
      </c>
      <c r="H96" s="21">
        <f>1477610.46+93678.56</f>
        <v>1571289.02</v>
      </c>
      <c r="I96" s="21">
        <f>1477610.46+93678.56</f>
        <v>1571289.02</v>
      </c>
      <c r="J96" s="23"/>
      <c r="K96" s="15">
        <v>42996</v>
      </c>
      <c r="L96" s="15">
        <v>43115</v>
      </c>
      <c r="M96" s="88">
        <v>841506.54999999993</v>
      </c>
      <c r="N96" s="16">
        <v>0.85</v>
      </c>
      <c r="O96" s="16">
        <f t="shared" si="4"/>
        <v>0.53555172809646434</v>
      </c>
      <c r="P96" s="17" t="s">
        <v>21</v>
      </c>
      <c r="S96" s="86"/>
    </row>
    <row r="97" spans="2:19" s="18" customFormat="1" ht="36" x14ac:dyDescent="0.25">
      <c r="B97" s="8">
        <f t="shared" si="5"/>
        <v>92</v>
      </c>
      <c r="C97" s="9"/>
      <c r="D97" s="10" t="s">
        <v>232</v>
      </c>
      <c r="E97" s="11" t="s">
        <v>233</v>
      </c>
      <c r="F97" s="12" t="s">
        <v>234</v>
      </c>
      <c r="G97" s="13">
        <f t="shared" si="3"/>
        <v>2346887.02</v>
      </c>
      <c r="H97" s="21">
        <f>1229162.25+30679.46</f>
        <v>1259841.71</v>
      </c>
      <c r="I97" s="21">
        <f>1060633.29+26412.02</f>
        <v>1087045.31</v>
      </c>
      <c r="J97" s="23"/>
      <c r="K97" s="15">
        <v>42996</v>
      </c>
      <c r="L97" s="15">
        <v>43115</v>
      </c>
      <c r="M97" s="88">
        <v>468706.96</v>
      </c>
      <c r="N97" s="16">
        <v>0.9</v>
      </c>
      <c r="O97" s="16">
        <f t="shared" si="4"/>
        <v>0.4311751825689768</v>
      </c>
      <c r="P97" s="17" t="s">
        <v>21</v>
      </c>
      <c r="S97" s="86"/>
    </row>
    <row r="98" spans="2:19" s="18" customFormat="1" ht="36" x14ac:dyDescent="0.25">
      <c r="B98" s="8">
        <f t="shared" si="5"/>
        <v>93</v>
      </c>
      <c r="C98" s="9"/>
      <c r="D98" s="10" t="s">
        <v>235</v>
      </c>
      <c r="E98" s="11" t="s">
        <v>236</v>
      </c>
      <c r="F98" s="19" t="s">
        <v>237</v>
      </c>
      <c r="G98" s="13">
        <f t="shared" si="3"/>
        <v>5294135.68</v>
      </c>
      <c r="H98" s="21">
        <f>2330939.75+87333.94-43853.84</f>
        <v>2374419.85</v>
      </c>
      <c r="I98" s="21">
        <f>2866250.33+107390.57-53925.07</f>
        <v>2919715.83</v>
      </c>
      <c r="J98" s="23"/>
      <c r="K98" s="15">
        <v>42996</v>
      </c>
      <c r="L98" s="15">
        <v>43168</v>
      </c>
      <c r="M98" s="88">
        <v>1648452.909</v>
      </c>
      <c r="N98" s="16">
        <v>0.91</v>
      </c>
      <c r="O98" s="16">
        <f t="shared" si="4"/>
        <v>0.5645936128654</v>
      </c>
      <c r="P98" s="17" t="s">
        <v>21</v>
      </c>
      <c r="S98" s="86"/>
    </row>
    <row r="99" spans="2:19" s="18" customFormat="1" ht="48" x14ac:dyDescent="0.25">
      <c r="B99" s="8">
        <f t="shared" si="5"/>
        <v>94</v>
      </c>
      <c r="C99" s="9"/>
      <c r="D99" s="10" t="s">
        <v>238</v>
      </c>
      <c r="E99" s="11" t="s">
        <v>239</v>
      </c>
      <c r="F99" s="11" t="s">
        <v>240</v>
      </c>
      <c r="G99" s="13">
        <f t="shared" si="3"/>
        <v>2079194.78</v>
      </c>
      <c r="H99" s="21">
        <f>962309.04+77288.35</f>
        <v>1039597.39</v>
      </c>
      <c r="I99" s="21">
        <f>962309.04+77288.35</f>
        <v>1039597.39</v>
      </c>
      <c r="J99" s="23"/>
      <c r="K99" s="15">
        <v>42996</v>
      </c>
      <c r="L99" s="15">
        <v>43115</v>
      </c>
      <c r="M99" s="88">
        <v>865475.03</v>
      </c>
      <c r="N99" s="16">
        <v>0.99</v>
      </c>
      <c r="O99" s="16">
        <f t="shared" si="4"/>
        <v>0.83250981420797909</v>
      </c>
      <c r="P99" s="17" t="s">
        <v>21</v>
      </c>
      <c r="S99" s="86"/>
    </row>
    <row r="100" spans="2:19" s="18" customFormat="1" ht="36" x14ac:dyDescent="0.25">
      <c r="B100" s="8">
        <f t="shared" si="5"/>
        <v>95</v>
      </c>
      <c r="C100" s="9"/>
      <c r="D100" s="10" t="s">
        <v>241</v>
      </c>
      <c r="E100" s="11" t="s">
        <v>242</v>
      </c>
      <c r="F100" s="11" t="s">
        <v>243</v>
      </c>
      <c r="G100" s="13">
        <f t="shared" si="3"/>
        <v>2608825.0700000003</v>
      </c>
      <c r="H100" s="21">
        <f>1098626.47+205786.06</f>
        <v>1304412.53</v>
      </c>
      <c r="I100" s="21">
        <f>1098626.48+205786.06</f>
        <v>1304412.54</v>
      </c>
      <c r="J100" s="14"/>
      <c r="K100" s="15">
        <v>43060</v>
      </c>
      <c r="L100" s="15">
        <v>43194</v>
      </c>
      <c r="M100" s="88">
        <v>329587.95</v>
      </c>
      <c r="N100" s="16">
        <v>0.25</v>
      </c>
      <c r="O100" s="16">
        <f t="shared" si="4"/>
        <v>0.25267155895327409</v>
      </c>
      <c r="P100" s="17" t="s">
        <v>21</v>
      </c>
      <c r="S100" s="86"/>
    </row>
    <row r="101" spans="2:19" s="18" customFormat="1" ht="24" x14ac:dyDescent="0.25">
      <c r="B101" s="8">
        <f t="shared" si="5"/>
        <v>96</v>
      </c>
      <c r="C101" s="9"/>
      <c r="D101" s="10" t="s">
        <v>244</v>
      </c>
      <c r="E101" s="11" t="s">
        <v>245</v>
      </c>
      <c r="F101" s="11" t="s">
        <v>57</v>
      </c>
      <c r="G101" s="13">
        <f t="shared" si="3"/>
        <v>2847345.8099999996</v>
      </c>
      <c r="H101" s="21">
        <v>1423672.9</v>
      </c>
      <c r="I101" s="21">
        <v>1423672.91</v>
      </c>
      <c r="J101" s="23"/>
      <c r="K101" s="15">
        <v>42996</v>
      </c>
      <c r="L101" s="15">
        <v>43115</v>
      </c>
      <c r="M101" s="88">
        <v>1020296.7629999999</v>
      </c>
      <c r="N101" s="16">
        <v>1</v>
      </c>
      <c r="O101" s="16">
        <f t="shared" si="4"/>
        <v>0.71666515239093787</v>
      </c>
      <c r="P101" s="17" t="s">
        <v>21</v>
      </c>
      <c r="S101" s="86"/>
    </row>
    <row r="102" spans="2:19" s="18" customFormat="1" ht="24" x14ac:dyDescent="0.25">
      <c r="B102" s="8">
        <f t="shared" si="5"/>
        <v>97</v>
      </c>
      <c r="C102" s="9"/>
      <c r="D102" s="10" t="s">
        <v>246</v>
      </c>
      <c r="E102" s="20" t="s">
        <v>247</v>
      </c>
      <c r="F102" s="11" t="s">
        <v>57</v>
      </c>
      <c r="G102" s="13">
        <f t="shared" si="3"/>
        <v>1269435.06</v>
      </c>
      <c r="H102" s="21">
        <f>595127.3+77103.03-37512.8</f>
        <v>634717.53</v>
      </c>
      <c r="I102" s="21">
        <f>595127.3+77103.03-37512.8</f>
        <v>634717.53</v>
      </c>
      <c r="J102" s="23"/>
      <c r="K102" s="15">
        <v>42979</v>
      </c>
      <c r="L102" s="15">
        <v>43127</v>
      </c>
      <c r="M102" s="88">
        <v>634717.52999999991</v>
      </c>
      <c r="N102" s="16">
        <v>1</v>
      </c>
      <c r="O102" s="16">
        <f t="shared" si="4"/>
        <v>0.99999999999999978</v>
      </c>
      <c r="P102" s="17" t="s">
        <v>34</v>
      </c>
      <c r="S102" s="86"/>
    </row>
    <row r="103" spans="2:19" s="18" customFormat="1" ht="24" x14ac:dyDescent="0.25">
      <c r="B103" s="8">
        <f t="shared" si="5"/>
        <v>98</v>
      </c>
      <c r="C103" s="9"/>
      <c r="D103" s="10" t="s">
        <v>248</v>
      </c>
      <c r="E103" s="11" t="s">
        <v>249</v>
      </c>
      <c r="F103" s="11" t="s">
        <v>57</v>
      </c>
      <c r="G103" s="13">
        <f t="shared" si="3"/>
        <v>1079845.55</v>
      </c>
      <c r="H103" s="21">
        <v>539922.78</v>
      </c>
      <c r="I103" s="21">
        <v>539922.77</v>
      </c>
      <c r="J103" s="23"/>
      <c r="K103" s="15">
        <v>43010</v>
      </c>
      <c r="L103" s="15">
        <v>43129</v>
      </c>
      <c r="M103" s="88">
        <v>352439.49</v>
      </c>
      <c r="N103" s="16">
        <v>1</v>
      </c>
      <c r="O103" s="16">
        <f t="shared" si="4"/>
        <v>0.65275907885863005</v>
      </c>
      <c r="P103" s="17" t="s">
        <v>34</v>
      </c>
      <c r="S103" s="86"/>
    </row>
    <row r="104" spans="2:19" s="18" customFormat="1" ht="24" x14ac:dyDescent="0.25">
      <c r="B104" s="8">
        <f t="shared" si="5"/>
        <v>99</v>
      </c>
      <c r="C104" s="9"/>
      <c r="D104" s="10" t="s">
        <v>250</v>
      </c>
      <c r="E104" s="12" t="s">
        <v>251</v>
      </c>
      <c r="F104" s="12" t="s">
        <v>252</v>
      </c>
      <c r="G104" s="13">
        <f t="shared" si="3"/>
        <v>1777231.96</v>
      </c>
      <c r="H104" s="21">
        <f>25296.61+1935.35</f>
        <v>27231.96</v>
      </c>
      <c r="I104" s="21">
        <f>1628076.85+121923.15</f>
        <v>1750000</v>
      </c>
      <c r="J104" s="23"/>
      <c r="K104" s="15">
        <v>43033</v>
      </c>
      <c r="L104" s="15">
        <v>43211</v>
      </c>
      <c r="M104" s="88">
        <v>669076.75</v>
      </c>
      <c r="N104" s="16">
        <v>0.78</v>
      </c>
      <c r="O104" s="16">
        <f t="shared" si="4"/>
        <v>0.38232957142857144</v>
      </c>
      <c r="P104" s="17" t="s">
        <v>21</v>
      </c>
      <c r="S104" s="86"/>
    </row>
    <row r="105" spans="2:19" s="18" customFormat="1" ht="24" x14ac:dyDescent="0.25">
      <c r="B105" s="8">
        <f t="shared" si="5"/>
        <v>100</v>
      </c>
      <c r="C105" s="9"/>
      <c r="D105" s="10" t="s">
        <v>253</v>
      </c>
      <c r="E105" s="12" t="s">
        <v>254</v>
      </c>
      <c r="F105" s="19" t="s">
        <v>20</v>
      </c>
      <c r="G105" s="13">
        <f t="shared" si="3"/>
        <v>2918914.2199999997</v>
      </c>
      <c r="H105" s="21">
        <v>0</v>
      </c>
      <c r="I105" s="21">
        <f>2699900.36+219013.86</f>
        <v>2918914.2199999997</v>
      </c>
      <c r="J105" s="23"/>
      <c r="K105" s="15">
        <v>43028</v>
      </c>
      <c r="L105" s="15">
        <v>43147</v>
      </c>
      <c r="M105" s="88">
        <v>2404143.9400000004</v>
      </c>
      <c r="N105" s="16">
        <v>0.89</v>
      </c>
      <c r="O105" s="16">
        <f t="shared" si="4"/>
        <v>0.82364323128344641</v>
      </c>
      <c r="P105" s="17" t="s">
        <v>21</v>
      </c>
      <c r="S105" s="86"/>
    </row>
    <row r="106" spans="2:19" s="18" customFormat="1" ht="24" x14ac:dyDescent="0.25">
      <c r="B106" s="8">
        <f t="shared" si="5"/>
        <v>101</v>
      </c>
      <c r="C106" s="9"/>
      <c r="D106" s="10" t="s">
        <v>255</v>
      </c>
      <c r="E106" s="12" t="s">
        <v>256</v>
      </c>
      <c r="F106" s="12" t="s">
        <v>186</v>
      </c>
      <c r="G106" s="13">
        <f t="shared" si="3"/>
        <v>1962611.49</v>
      </c>
      <c r="H106" s="21">
        <f>851255.45+22045-7985.04</f>
        <v>865315.40999999992</v>
      </c>
      <c r="I106" s="21">
        <f>1079466.83+27955-10125.75</f>
        <v>1097296.08</v>
      </c>
      <c r="J106" s="23"/>
      <c r="K106" s="15">
        <v>43024</v>
      </c>
      <c r="L106" s="15">
        <v>43182</v>
      </c>
      <c r="M106" s="88">
        <v>565822.65</v>
      </c>
      <c r="N106" s="16">
        <v>0.9</v>
      </c>
      <c r="O106" s="16">
        <f t="shared" si="4"/>
        <v>0.51565175554076526</v>
      </c>
      <c r="P106" s="17" t="s">
        <v>21</v>
      </c>
      <c r="S106" s="86"/>
    </row>
    <row r="107" spans="2:19" s="18" customFormat="1" ht="24" x14ac:dyDescent="0.25">
      <c r="B107" s="8">
        <f t="shared" si="5"/>
        <v>102</v>
      </c>
      <c r="C107" s="9"/>
      <c r="D107" s="10" t="s">
        <v>257</v>
      </c>
      <c r="E107" s="12" t="s">
        <v>258</v>
      </c>
      <c r="F107" s="19" t="s">
        <v>20</v>
      </c>
      <c r="G107" s="13">
        <f t="shared" si="3"/>
        <v>2070975.3299999998</v>
      </c>
      <c r="H107" s="21"/>
      <c r="I107" s="21">
        <f>1923658.43+147316.9</f>
        <v>2070975.3299999998</v>
      </c>
      <c r="J107" s="23"/>
      <c r="K107" s="15">
        <v>43033</v>
      </c>
      <c r="L107" s="15">
        <v>43152</v>
      </c>
      <c r="M107" s="88">
        <v>1818799.7700000003</v>
      </c>
      <c r="N107" s="16">
        <v>1</v>
      </c>
      <c r="O107" s="16">
        <f t="shared" si="4"/>
        <v>0.87823343120171327</v>
      </c>
      <c r="P107" s="17" t="s">
        <v>21</v>
      </c>
      <c r="S107" s="86"/>
    </row>
    <row r="108" spans="2:19" s="60" customFormat="1" ht="24" x14ac:dyDescent="0.25">
      <c r="B108" s="51">
        <f t="shared" si="5"/>
        <v>103</v>
      </c>
      <c r="C108" s="52"/>
      <c r="D108" s="53" t="s">
        <v>259</v>
      </c>
      <c r="E108" s="54" t="s">
        <v>260</v>
      </c>
      <c r="F108" s="66" t="s">
        <v>20</v>
      </c>
      <c r="G108" s="65">
        <f t="shared" si="3"/>
        <v>4105285.7</v>
      </c>
      <c r="H108" s="57">
        <f>3977130.52+140000-11844.82</f>
        <v>4105285.7</v>
      </c>
      <c r="I108" s="67">
        <v>0</v>
      </c>
      <c r="J108" s="68"/>
      <c r="K108" s="63">
        <v>43033</v>
      </c>
      <c r="L108" s="63">
        <v>43169</v>
      </c>
      <c r="M108" s="38">
        <v>0</v>
      </c>
      <c r="N108" s="59">
        <v>0.97</v>
      </c>
      <c r="O108" s="59">
        <v>0</v>
      </c>
      <c r="P108" s="64" t="s">
        <v>21</v>
      </c>
      <c r="R108" s="18"/>
      <c r="S108" s="86"/>
    </row>
    <row r="109" spans="2:19" s="60" customFormat="1" ht="24" x14ac:dyDescent="0.25">
      <c r="B109" s="51">
        <f t="shared" si="5"/>
        <v>104</v>
      </c>
      <c r="C109" s="52"/>
      <c r="D109" s="53" t="s">
        <v>261</v>
      </c>
      <c r="E109" s="54" t="s">
        <v>262</v>
      </c>
      <c r="F109" s="66" t="s">
        <v>20</v>
      </c>
      <c r="G109" s="65">
        <f t="shared" si="3"/>
        <v>6105227.4299999997</v>
      </c>
      <c r="H109" s="57">
        <f>5498892.54+606334.89</f>
        <v>6105227.4299999997</v>
      </c>
      <c r="I109" s="67">
        <v>0</v>
      </c>
      <c r="J109" s="68"/>
      <c r="K109" s="63">
        <v>43024</v>
      </c>
      <c r="L109" s="63">
        <v>43143</v>
      </c>
      <c r="M109" s="38">
        <v>0</v>
      </c>
      <c r="N109" s="59">
        <v>1</v>
      </c>
      <c r="O109" s="59">
        <v>0</v>
      </c>
      <c r="P109" s="64" t="s">
        <v>21</v>
      </c>
      <c r="R109" s="18"/>
      <c r="S109" s="86"/>
    </row>
    <row r="110" spans="2:19" s="60" customFormat="1" ht="24" x14ac:dyDescent="0.25">
      <c r="B110" s="51">
        <f t="shared" si="5"/>
        <v>105</v>
      </c>
      <c r="C110" s="52"/>
      <c r="D110" s="61" t="s">
        <v>263</v>
      </c>
      <c r="E110" s="54" t="s">
        <v>264</v>
      </c>
      <c r="F110" s="66" t="s">
        <v>20</v>
      </c>
      <c r="G110" s="65">
        <f t="shared" si="3"/>
        <v>2060902.18</v>
      </c>
      <c r="H110" s="57">
        <f>2150745.96+25000-114843.78</f>
        <v>2060902.18</v>
      </c>
      <c r="I110" s="67"/>
      <c r="J110" s="68"/>
      <c r="K110" s="63">
        <v>43060</v>
      </c>
      <c r="L110" s="63">
        <v>43194</v>
      </c>
      <c r="M110" s="38"/>
      <c r="N110" s="59">
        <v>0.98</v>
      </c>
      <c r="O110" s="59">
        <v>0</v>
      </c>
      <c r="P110" s="64" t="s">
        <v>21</v>
      </c>
      <c r="R110" s="18"/>
      <c r="S110" s="86"/>
    </row>
    <row r="111" spans="2:19" s="18" customFormat="1" ht="36" x14ac:dyDescent="0.25">
      <c r="B111" s="8">
        <f t="shared" si="5"/>
        <v>106</v>
      </c>
      <c r="C111" s="9"/>
      <c r="D111" s="10" t="s">
        <v>265</v>
      </c>
      <c r="E111" s="12" t="s">
        <v>266</v>
      </c>
      <c r="F111" s="19" t="s">
        <v>20</v>
      </c>
      <c r="G111" s="13">
        <f t="shared" si="3"/>
        <v>1930801.0799999998</v>
      </c>
      <c r="H111" s="21">
        <v>554169.9</v>
      </c>
      <c r="I111" s="21">
        <v>1346927.52</v>
      </c>
      <c r="J111" s="23">
        <v>29703.66</v>
      </c>
      <c r="K111" s="15">
        <v>43024</v>
      </c>
      <c r="L111" s="15">
        <v>43143</v>
      </c>
      <c r="M111" s="38">
        <v>1239453.6200000001</v>
      </c>
      <c r="N111" s="16">
        <v>0.98</v>
      </c>
      <c r="O111" s="16">
        <f t="shared" si="4"/>
        <v>0.92020810444202672</v>
      </c>
      <c r="P111" s="17" t="s">
        <v>21</v>
      </c>
      <c r="S111" s="86"/>
    </row>
    <row r="112" spans="2:19" s="18" customFormat="1" ht="24" x14ac:dyDescent="0.25">
      <c r="B112" s="8">
        <f t="shared" si="5"/>
        <v>107</v>
      </c>
      <c r="C112" s="9"/>
      <c r="D112" s="10" t="s">
        <v>267</v>
      </c>
      <c r="E112" s="12" t="s">
        <v>268</v>
      </c>
      <c r="F112" s="19" t="s">
        <v>20</v>
      </c>
      <c r="G112" s="13">
        <f t="shared" si="3"/>
        <v>5049477.79</v>
      </c>
      <c r="H112" s="21">
        <f>2475741.4+24760</f>
        <v>2500501.4</v>
      </c>
      <c r="I112" s="21">
        <f>2523736.39+25240</f>
        <v>2548976.39</v>
      </c>
      <c r="J112" s="23"/>
      <c r="K112" s="15">
        <v>43040</v>
      </c>
      <c r="L112" s="15">
        <v>43220</v>
      </c>
      <c r="M112" s="38">
        <v>2290592.9700000002</v>
      </c>
      <c r="N112" s="16">
        <v>0.93</v>
      </c>
      <c r="O112" s="16">
        <f t="shared" si="4"/>
        <v>0.8986324781140872</v>
      </c>
      <c r="P112" s="17" t="s">
        <v>21</v>
      </c>
      <c r="S112" s="86"/>
    </row>
    <row r="113" spans="2:19" s="18" customFormat="1" ht="36" x14ac:dyDescent="0.25">
      <c r="B113" s="8">
        <f t="shared" si="5"/>
        <v>108</v>
      </c>
      <c r="C113" s="9"/>
      <c r="D113" s="10" t="s">
        <v>269</v>
      </c>
      <c r="E113" s="12" t="s">
        <v>270</v>
      </c>
      <c r="F113" s="19" t="s">
        <v>20</v>
      </c>
      <c r="G113" s="13">
        <f t="shared" si="3"/>
        <v>6289890.9199999999</v>
      </c>
      <c r="H113" s="21">
        <f>2275220.19+170412.98</f>
        <v>2445633.17</v>
      </c>
      <c r="I113" s="21">
        <f>3576683.59+267574.16</f>
        <v>3844257.75</v>
      </c>
      <c r="J113" s="23"/>
      <c r="K113" s="15">
        <v>43042</v>
      </c>
      <c r="L113" s="15">
        <v>43182</v>
      </c>
      <c r="M113" s="38">
        <v>3447983.46</v>
      </c>
      <c r="N113" s="16">
        <v>0.96</v>
      </c>
      <c r="O113" s="16">
        <f t="shared" si="4"/>
        <v>0.89691786665449269</v>
      </c>
      <c r="P113" s="17" t="s">
        <v>21</v>
      </c>
      <c r="S113" s="86"/>
    </row>
    <row r="114" spans="2:19" s="18" customFormat="1" ht="24" x14ac:dyDescent="0.25">
      <c r="B114" s="8">
        <f t="shared" si="5"/>
        <v>109</v>
      </c>
      <c r="C114" s="9"/>
      <c r="D114" s="10" t="s">
        <v>271</v>
      </c>
      <c r="E114" s="12" t="s">
        <v>272</v>
      </c>
      <c r="F114" s="19" t="s">
        <v>237</v>
      </c>
      <c r="G114" s="13">
        <f t="shared" si="3"/>
        <v>3657769.66</v>
      </c>
      <c r="H114" s="21">
        <v>577561.82999999996</v>
      </c>
      <c r="I114" s="21">
        <v>3080207.83</v>
      </c>
      <c r="J114" s="23"/>
      <c r="K114" s="15">
        <v>43024</v>
      </c>
      <c r="L114" s="15">
        <v>43182</v>
      </c>
      <c r="M114" s="38">
        <v>3080207.83</v>
      </c>
      <c r="N114" s="16">
        <v>1</v>
      </c>
      <c r="O114" s="16">
        <f t="shared" si="4"/>
        <v>1</v>
      </c>
      <c r="P114" s="17" t="s">
        <v>21</v>
      </c>
      <c r="S114" s="86"/>
    </row>
    <row r="115" spans="2:19" s="18" customFormat="1" ht="48" x14ac:dyDescent="0.25">
      <c r="B115" s="8">
        <f t="shared" si="5"/>
        <v>110</v>
      </c>
      <c r="C115" s="9"/>
      <c r="D115" s="10" t="s">
        <v>273</v>
      </c>
      <c r="E115" s="11" t="s">
        <v>274</v>
      </c>
      <c r="F115" s="12" t="s">
        <v>240</v>
      </c>
      <c r="G115" s="13">
        <f t="shared" si="3"/>
        <v>1366750.03</v>
      </c>
      <c r="H115" s="21">
        <v>1191872.05</v>
      </c>
      <c r="I115" s="21">
        <v>174877.98</v>
      </c>
      <c r="J115" s="23"/>
      <c r="K115" s="15">
        <v>42996</v>
      </c>
      <c r="L115" s="15">
        <v>43085</v>
      </c>
      <c r="M115" s="88">
        <v>150810.87</v>
      </c>
      <c r="N115" s="16">
        <v>1</v>
      </c>
      <c r="O115" s="16">
        <f t="shared" si="4"/>
        <v>0.86237769901047567</v>
      </c>
      <c r="P115" s="17" t="s">
        <v>34</v>
      </c>
      <c r="S115" s="86"/>
    </row>
    <row r="116" spans="2:19" s="18" customFormat="1" ht="36" x14ac:dyDescent="0.25">
      <c r="B116" s="8">
        <f t="shared" si="5"/>
        <v>111</v>
      </c>
      <c r="C116" s="9"/>
      <c r="D116" s="10" t="s">
        <v>275</v>
      </c>
      <c r="E116" s="11" t="s">
        <v>276</v>
      </c>
      <c r="F116" s="11" t="s">
        <v>277</v>
      </c>
      <c r="G116" s="13">
        <f t="shared" si="3"/>
        <v>1032065.78</v>
      </c>
      <c r="H116" s="21">
        <f>468226.92+47805.97</f>
        <v>516032.89</v>
      </c>
      <c r="I116" s="21">
        <f>468226.92+47805.97</f>
        <v>516032.89</v>
      </c>
      <c r="J116" s="23"/>
      <c r="K116" s="15">
        <v>43026</v>
      </c>
      <c r="L116" s="15">
        <v>43122</v>
      </c>
      <c r="M116" s="88">
        <v>161796.76999999999</v>
      </c>
      <c r="N116" s="16">
        <v>0.45</v>
      </c>
      <c r="O116" s="16">
        <f t="shared" si="4"/>
        <v>0.31353964666864548</v>
      </c>
      <c r="P116" s="17" t="s">
        <v>34</v>
      </c>
      <c r="S116" s="86"/>
    </row>
    <row r="117" spans="2:19" s="18" customFormat="1" ht="36" x14ac:dyDescent="0.25">
      <c r="B117" s="8">
        <f t="shared" si="5"/>
        <v>112</v>
      </c>
      <c r="C117" s="9"/>
      <c r="D117" s="10" t="s">
        <v>278</v>
      </c>
      <c r="E117" s="20" t="s">
        <v>279</v>
      </c>
      <c r="F117" s="11" t="s">
        <v>20</v>
      </c>
      <c r="G117" s="13">
        <f t="shared" ref="G117:G180" si="6">SUM(H117:J117)</f>
        <v>1251216.1200000001</v>
      </c>
      <c r="H117" s="21">
        <f>555941.94+69666.12</f>
        <v>625608.05999999994</v>
      </c>
      <c r="I117" s="21">
        <f>555941.93+69666.13</f>
        <v>625608.06000000006</v>
      </c>
      <c r="J117" s="23"/>
      <c r="K117" s="15">
        <v>43003</v>
      </c>
      <c r="L117" s="15">
        <v>43092</v>
      </c>
      <c r="M117" s="88">
        <v>498115.6</v>
      </c>
      <c r="N117" s="16">
        <v>0.9</v>
      </c>
      <c r="O117" s="16">
        <f t="shared" si="4"/>
        <v>0.79621033015463372</v>
      </c>
      <c r="P117" s="17" t="s">
        <v>34</v>
      </c>
      <c r="S117" s="86"/>
    </row>
    <row r="118" spans="2:19" s="18" customFormat="1" ht="36" x14ac:dyDescent="0.25">
      <c r="B118" s="8">
        <f t="shared" si="5"/>
        <v>113</v>
      </c>
      <c r="C118" s="9"/>
      <c r="D118" s="10" t="s">
        <v>280</v>
      </c>
      <c r="E118" s="20" t="s">
        <v>281</v>
      </c>
      <c r="F118" s="11" t="s">
        <v>20</v>
      </c>
      <c r="G118" s="13">
        <f t="shared" si="6"/>
        <v>989451.11</v>
      </c>
      <c r="H118" s="21">
        <f>474824.37+19901.18</f>
        <v>494725.55</v>
      </c>
      <c r="I118" s="21">
        <f>474824.37+19901.19</f>
        <v>494725.56</v>
      </c>
      <c r="J118" s="23"/>
      <c r="K118" s="15">
        <v>43028</v>
      </c>
      <c r="L118" s="15">
        <v>43132</v>
      </c>
      <c r="M118" s="88">
        <v>445046.71</v>
      </c>
      <c r="N118" s="16">
        <v>0.91</v>
      </c>
      <c r="O118" s="16">
        <f t="shared" si="4"/>
        <v>0.89958301325688539</v>
      </c>
      <c r="P118" s="17" t="s">
        <v>34</v>
      </c>
      <c r="S118" s="86"/>
    </row>
    <row r="119" spans="2:19" s="18" customFormat="1" ht="24" x14ac:dyDescent="0.25">
      <c r="B119" s="8">
        <f t="shared" si="5"/>
        <v>114</v>
      </c>
      <c r="C119" s="9"/>
      <c r="D119" s="10" t="s">
        <v>282</v>
      </c>
      <c r="E119" s="11" t="s">
        <v>283</v>
      </c>
      <c r="F119" s="11" t="s">
        <v>284</v>
      </c>
      <c r="G119" s="13">
        <f t="shared" si="6"/>
        <v>513676.06</v>
      </c>
      <c r="H119" s="21">
        <v>253345.03</v>
      </c>
      <c r="I119" s="21">
        <v>260331.03</v>
      </c>
      <c r="J119" s="23"/>
      <c r="K119" s="15">
        <v>43003</v>
      </c>
      <c r="L119" s="15">
        <v>43062</v>
      </c>
      <c r="M119" s="88">
        <v>234176.87</v>
      </c>
      <c r="N119" s="16">
        <v>1</v>
      </c>
      <c r="O119" s="16">
        <f t="shared" si="4"/>
        <v>0.8995349882032887</v>
      </c>
      <c r="P119" s="17" t="s">
        <v>34</v>
      </c>
      <c r="S119" s="86"/>
    </row>
    <row r="120" spans="2:19" s="18" customFormat="1" ht="24" x14ac:dyDescent="0.25">
      <c r="B120" s="8">
        <f t="shared" si="5"/>
        <v>115</v>
      </c>
      <c r="C120" s="9"/>
      <c r="D120" s="10" t="s">
        <v>285</v>
      </c>
      <c r="E120" s="11" t="s">
        <v>286</v>
      </c>
      <c r="F120" s="11" t="s">
        <v>172</v>
      </c>
      <c r="G120" s="13">
        <f t="shared" si="6"/>
        <v>958474.33</v>
      </c>
      <c r="H120" s="21">
        <v>479237.16</v>
      </c>
      <c r="I120" s="21">
        <v>479237.17</v>
      </c>
      <c r="J120" s="23"/>
      <c r="K120" s="15">
        <v>43028</v>
      </c>
      <c r="L120" s="15">
        <v>43117</v>
      </c>
      <c r="M120" s="88">
        <v>426958.05</v>
      </c>
      <c r="N120" s="16">
        <v>1</v>
      </c>
      <c r="O120" s="16">
        <f t="shared" si="4"/>
        <v>0.8909118005183112</v>
      </c>
      <c r="P120" s="17" t="s">
        <v>34</v>
      </c>
      <c r="S120" s="86"/>
    </row>
    <row r="121" spans="2:19" s="18" customFormat="1" ht="24" x14ac:dyDescent="0.25">
      <c r="B121" s="8">
        <f t="shared" si="5"/>
        <v>116</v>
      </c>
      <c r="C121" s="9"/>
      <c r="D121" s="10" t="s">
        <v>287</v>
      </c>
      <c r="E121" s="12" t="s">
        <v>288</v>
      </c>
      <c r="F121" s="12" t="s">
        <v>186</v>
      </c>
      <c r="G121" s="13">
        <f t="shared" si="6"/>
        <v>1313703.4000000001</v>
      </c>
      <c r="H121" s="21">
        <f>818764.64+25947.54</f>
        <v>844712.18</v>
      </c>
      <c r="I121" s="21">
        <f>454586.27+14404.95</f>
        <v>468991.22000000003</v>
      </c>
      <c r="J121" s="23"/>
      <c r="K121" s="15">
        <v>43003</v>
      </c>
      <c r="L121" s="15">
        <v>43092</v>
      </c>
      <c r="M121" s="88">
        <v>400766.13</v>
      </c>
      <c r="N121" s="16">
        <v>1</v>
      </c>
      <c r="O121" s="16">
        <f t="shared" si="4"/>
        <v>0.85452800161162923</v>
      </c>
      <c r="P121" s="17" t="s">
        <v>34</v>
      </c>
      <c r="S121" s="86"/>
    </row>
    <row r="122" spans="2:19" s="18" customFormat="1" ht="24" x14ac:dyDescent="0.25">
      <c r="B122" s="8">
        <f t="shared" si="5"/>
        <v>117</v>
      </c>
      <c r="C122" s="9"/>
      <c r="D122" s="10" t="s">
        <v>289</v>
      </c>
      <c r="E122" s="12" t="s">
        <v>290</v>
      </c>
      <c r="F122" s="19" t="s">
        <v>20</v>
      </c>
      <c r="G122" s="13">
        <f t="shared" si="6"/>
        <v>1546731.29</v>
      </c>
      <c r="H122" s="21">
        <f>728910.9+38267.82</f>
        <v>767178.72</v>
      </c>
      <c r="I122" s="21">
        <f>740667.52+38885.05</f>
        <v>779552.57000000007</v>
      </c>
      <c r="J122" s="23"/>
      <c r="K122" s="15">
        <v>43028</v>
      </c>
      <c r="L122" s="15">
        <v>43148</v>
      </c>
      <c r="M122" s="88">
        <v>477485.64</v>
      </c>
      <c r="N122" s="16">
        <v>1</v>
      </c>
      <c r="O122" s="16">
        <f t="shared" si="4"/>
        <v>0.61251243132967925</v>
      </c>
      <c r="P122" s="17" t="s">
        <v>34</v>
      </c>
      <c r="S122" s="86"/>
    </row>
    <row r="123" spans="2:19" s="18" customFormat="1" ht="48" x14ac:dyDescent="0.25">
      <c r="B123" s="8">
        <f t="shared" si="5"/>
        <v>118</v>
      </c>
      <c r="C123" s="9"/>
      <c r="D123" s="10" t="s">
        <v>291</v>
      </c>
      <c r="E123" s="12" t="s">
        <v>292</v>
      </c>
      <c r="F123" s="12" t="s">
        <v>293</v>
      </c>
      <c r="G123" s="13">
        <f t="shared" si="6"/>
        <v>299984.63</v>
      </c>
      <c r="H123" s="21">
        <v>175127.32</v>
      </c>
      <c r="I123" s="21">
        <v>99194.92</v>
      </c>
      <c r="J123" s="24">
        <v>25662.39</v>
      </c>
      <c r="K123" s="15">
        <v>43003</v>
      </c>
      <c r="L123" s="15">
        <v>43092</v>
      </c>
      <c r="M123" s="38">
        <v>99194.92</v>
      </c>
      <c r="N123" s="16">
        <v>1</v>
      </c>
      <c r="O123" s="16">
        <f t="shared" si="4"/>
        <v>1</v>
      </c>
      <c r="P123" s="17" t="s">
        <v>34</v>
      </c>
      <c r="S123" s="86"/>
    </row>
    <row r="124" spans="2:19" s="18" customFormat="1" ht="48" x14ac:dyDescent="0.25">
      <c r="B124" s="8">
        <f t="shared" si="5"/>
        <v>119</v>
      </c>
      <c r="C124" s="9"/>
      <c r="D124" s="10" t="s">
        <v>294</v>
      </c>
      <c r="E124" s="12" t="s">
        <v>295</v>
      </c>
      <c r="F124" s="12" t="s">
        <v>293</v>
      </c>
      <c r="G124" s="13">
        <f t="shared" si="6"/>
        <v>346764.01</v>
      </c>
      <c r="H124" s="21">
        <v>229135.35999999999</v>
      </c>
      <c r="I124" s="21">
        <v>100000</v>
      </c>
      <c r="J124" s="24">
        <v>17628.650000000001</v>
      </c>
      <c r="K124" s="15">
        <v>43003</v>
      </c>
      <c r="L124" s="15">
        <v>43092</v>
      </c>
      <c r="M124" s="38">
        <v>100000</v>
      </c>
      <c r="N124" s="16">
        <v>1</v>
      </c>
      <c r="O124" s="16">
        <f t="shared" si="4"/>
        <v>1</v>
      </c>
      <c r="P124" s="17" t="s">
        <v>34</v>
      </c>
      <c r="S124" s="86"/>
    </row>
    <row r="125" spans="2:19" s="18" customFormat="1" ht="24" x14ac:dyDescent="0.25">
      <c r="B125" s="8">
        <f t="shared" si="5"/>
        <v>120</v>
      </c>
      <c r="C125" s="9"/>
      <c r="D125" s="10" t="s">
        <v>296</v>
      </c>
      <c r="E125" s="12" t="s">
        <v>297</v>
      </c>
      <c r="F125" s="19" t="s">
        <v>20</v>
      </c>
      <c r="G125" s="13">
        <f t="shared" si="6"/>
        <v>1147994.23</v>
      </c>
      <c r="H125" s="21">
        <f>322126.47+58269.02-56661.12</f>
        <v>323734.37</v>
      </c>
      <c r="I125" s="21">
        <f>820165.97+148312.01-144218.12</f>
        <v>824259.86</v>
      </c>
      <c r="J125" s="23"/>
      <c r="K125" s="15">
        <v>43012</v>
      </c>
      <c r="L125" s="15">
        <v>43101</v>
      </c>
      <c r="M125" s="88">
        <v>732205.92</v>
      </c>
      <c r="N125" s="16">
        <v>1</v>
      </c>
      <c r="O125" s="16">
        <f t="shared" si="4"/>
        <v>0.8883192734873685</v>
      </c>
      <c r="P125" s="17" t="s">
        <v>34</v>
      </c>
      <c r="S125" s="86"/>
    </row>
    <row r="126" spans="2:19" s="18" customFormat="1" ht="24" x14ac:dyDescent="0.25">
      <c r="B126" s="8">
        <f t="shared" si="5"/>
        <v>121</v>
      </c>
      <c r="C126" s="9"/>
      <c r="D126" s="10" t="s">
        <v>298</v>
      </c>
      <c r="E126" s="12" t="s">
        <v>299</v>
      </c>
      <c r="F126" s="19" t="s">
        <v>20</v>
      </c>
      <c r="G126" s="13">
        <f t="shared" si="6"/>
        <v>1332030.31</v>
      </c>
      <c r="H126" s="21"/>
      <c r="I126" s="21">
        <v>1332030.31</v>
      </c>
      <c r="J126" s="23"/>
      <c r="K126" s="15">
        <v>43033</v>
      </c>
      <c r="L126" s="15">
        <v>43132</v>
      </c>
      <c r="M126" s="88">
        <v>578280.95999999996</v>
      </c>
      <c r="N126" s="16">
        <v>1</v>
      </c>
      <c r="O126" s="16">
        <f t="shared" si="4"/>
        <v>0.43413498601244288</v>
      </c>
      <c r="P126" s="17" t="s">
        <v>34</v>
      </c>
      <c r="S126" s="86"/>
    </row>
    <row r="127" spans="2:19" s="18" customFormat="1" ht="24" x14ac:dyDescent="0.25">
      <c r="B127" s="8">
        <f t="shared" si="5"/>
        <v>122</v>
      </c>
      <c r="C127" s="9"/>
      <c r="D127" s="10" t="s">
        <v>300</v>
      </c>
      <c r="E127" s="12" t="s">
        <v>301</v>
      </c>
      <c r="F127" s="12" t="s">
        <v>104</v>
      </c>
      <c r="G127" s="13">
        <f t="shared" si="6"/>
        <v>325936.45999999996</v>
      </c>
      <c r="H127" s="21">
        <f>160046.83+15013.65</f>
        <v>175060.47999999998</v>
      </c>
      <c r="I127" s="21">
        <f>137936.46+12939.52</f>
        <v>150875.97999999998</v>
      </c>
      <c r="J127" s="23"/>
      <c r="K127" s="15">
        <v>43017</v>
      </c>
      <c r="L127" s="15">
        <v>43106</v>
      </c>
      <c r="M127" s="38">
        <v>150875.98000000001</v>
      </c>
      <c r="N127" s="16">
        <v>1</v>
      </c>
      <c r="O127" s="16">
        <f t="shared" si="4"/>
        <v>1.0000000000000002</v>
      </c>
      <c r="P127" s="17" t="s">
        <v>34</v>
      </c>
      <c r="S127" s="86"/>
    </row>
    <row r="128" spans="2:19" s="18" customFormat="1" ht="24" x14ac:dyDescent="0.25">
      <c r="B128" s="8">
        <f t="shared" si="5"/>
        <v>123</v>
      </c>
      <c r="C128" s="9"/>
      <c r="D128" s="10" t="s">
        <v>302</v>
      </c>
      <c r="E128" s="12" t="s">
        <v>303</v>
      </c>
      <c r="F128" s="19" t="s">
        <v>57</v>
      </c>
      <c r="G128" s="13">
        <f t="shared" si="6"/>
        <v>1469797.55</v>
      </c>
      <c r="H128" s="21">
        <f>572135.72+33220.29</f>
        <v>605356.01</v>
      </c>
      <c r="I128" s="21">
        <f>816880.35+47561.19</f>
        <v>864441.54</v>
      </c>
      <c r="J128" s="23"/>
      <c r="K128" s="15">
        <v>43017</v>
      </c>
      <c r="L128" s="15">
        <v>42751</v>
      </c>
      <c r="M128" s="38">
        <v>542694.37</v>
      </c>
      <c r="N128" s="16">
        <v>0.54</v>
      </c>
      <c r="O128" s="16">
        <f t="shared" si="4"/>
        <v>0.62779765303735868</v>
      </c>
      <c r="P128" s="17" t="s">
        <v>34</v>
      </c>
      <c r="S128" s="86"/>
    </row>
    <row r="129" spans="2:19" s="18" customFormat="1" ht="27" customHeight="1" x14ac:dyDescent="0.25">
      <c r="B129" s="8">
        <f t="shared" si="5"/>
        <v>124</v>
      </c>
      <c r="C129" s="9"/>
      <c r="D129" s="10" t="s">
        <v>304</v>
      </c>
      <c r="E129" s="11" t="s">
        <v>305</v>
      </c>
      <c r="F129" s="11" t="s">
        <v>57</v>
      </c>
      <c r="G129" s="13">
        <f t="shared" si="6"/>
        <v>787086.1</v>
      </c>
      <c r="H129" s="21">
        <f>353437.56+40105.49</f>
        <v>393543.05</v>
      </c>
      <c r="I129" s="21">
        <f>353437.57+40105.48</f>
        <v>393543.05</v>
      </c>
      <c r="J129" s="23"/>
      <c r="K129" s="15">
        <v>43047</v>
      </c>
      <c r="L129" s="15">
        <v>43151</v>
      </c>
      <c r="M129" s="88">
        <v>106031.27</v>
      </c>
      <c r="N129" s="16">
        <v>0.32</v>
      </c>
      <c r="O129" s="16">
        <f t="shared" si="4"/>
        <v>0.26942737268514844</v>
      </c>
      <c r="P129" s="17" t="s">
        <v>34</v>
      </c>
      <c r="S129" s="86"/>
    </row>
    <row r="130" spans="2:19" s="18" customFormat="1" ht="48" x14ac:dyDescent="0.25">
      <c r="B130" s="8">
        <f t="shared" si="5"/>
        <v>125</v>
      </c>
      <c r="C130" s="9"/>
      <c r="D130" s="25" t="s">
        <v>306</v>
      </c>
      <c r="E130" s="12" t="s">
        <v>307</v>
      </c>
      <c r="F130" s="12" t="s">
        <v>308</v>
      </c>
      <c r="G130" s="13">
        <f t="shared" si="6"/>
        <v>20000000</v>
      </c>
      <c r="H130" s="21"/>
      <c r="I130" s="21">
        <f>17638991.74+2361008.26</f>
        <v>20000000</v>
      </c>
      <c r="J130" s="23"/>
      <c r="K130" s="15">
        <v>43054</v>
      </c>
      <c r="L130" s="15">
        <v>43299</v>
      </c>
      <c r="M130" s="38">
        <v>13568695.529999999</v>
      </c>
      <c r="N130" s="16">
        <v>0.62</v>
      </c>
      <c r="O130" s="16">
        <f t="shared" si="4"/>
        <v>0.67843477649999995</v>
      </c>
      <c r="P130" s="17" t="s">
        <v>131</v>
      </c>
      <c r="S130" s="86"/>
    </row>
    <row r="131" spans="2:19" s="18" customFormat="1" ht="36" x14ac:dyDescent="0.25">
      <c r="B131" s="8">
        <f t="shared" si="5"/>
        <v>126</v>
      </c>
      <c r="C131" s="9"/>
      <c r="D131" s="26" t="s">
        <v>309</v>
      </c>
      <c r="E131" s="12" t="s">
        <v>310</v>
      </c>
      <c r="F131" s="19" t="s">
        <v>20</v>
      </c>
      <c r="G131" s="13">
        <f t="shared" si="6"/>
        <v>3641910.0599999996</v>
      </c>
      <c r="H131" s="21">
        <f>2231182.46+94516.61</f>
        <v>2325699.0699999998</v>
      </c>
      <c r="I131" s="21">
        <f>1262682.97+53528.02</f>
        <v>1316210.99</v>
      </c>
      <c r="J131" s="23"/>
      <c r="K131" s="15">
        <v>43060</v>
      </c>
      <c r="L131" s="15">
        <v>43259</v>
      </c>
      <c r="M131" s="38">
        <v>1154039.2</v>
      </c>
      <c r="N131" s="16">
        <v>0.85</v>
      </c>
      <c r="O131" s="16">
        <f t="shared" si="4"/>
        <v>0.87678891056820607</v>
      </c>
      <c r="P131" s="17" t="s">
        <v>21</v>
      </c>
      <c r="S131" s="86"/>
    </row>
    <row r="132" spans="2:19" s="18" customFormat="1" ht="36" x14ac:dyDescent="0.25">
      <c r="B132" s="8">
        <f t="shared" si="5"/>
        <v>127</v>
      </c>
      <c r="C132" s="9"/>
      <c r="D132" s="26" t="s">
        <v>311</v>
      </c>
      <c r="E132" s="12" t="s">
        <v>312</v>
      </c>
      <c r="F132" s="19" t="s">
        <v>243</v>
      </c>
      <c r="G132" s="13">
        <f t="shared" si="6"/>
        <v>2499192.8099999996</v>
      </c>
      <c r="H132" s="21">
        <f>386335.22+16130.51</f>
        <v>402465.73</v>
      </c>
      <c r="I132" s="21">
        <f>2013262.44+83464.64</f>
        <v>2096727.0799999998</v>
      </c>
      <c r="J132" s="23"/>
      <c r="K132" s="15">
        <v>43083</v>
      </c>
      <c r="L132" s="15">
        <v>43217</v>
      </c>
      <c r="M132" s="38">
        <v>1793165.02</v>
      </c>
      <c r="N132" s="16">
        <v>0.9</v>
      </c>
      <c r="O132" s="16">
        <f t="shared" si="4"/>
        <v>0.85522099519027539</v>
      </c>
      <c r="P132" s="17" t="s">
        <v>21</v>
      </c>
      <c r="S132" s="86"/>
    </row>
    <row r="133" spans="2:19" s="18" customFormat="1" ht="24" x14ac:dyDescent="0.25">
      <c r="B133" s="8">
        <f t="shared" si="5"/>
        <v>128</v>
      </c>
      <c r="C133" s="9"/>
      <c r="D133" s="26" t="s">
        <v>313</v>
      </c>
      <c r="E133" s="12" t="s">
        <v>314</v>
      </c>
      <c r="F133" s="12" t="s">
        <v>172</v>
      </c>
      <c r="G133" s="13">
        <f t="shared" si="6"/>
        <v>1641569.1199999999</v>
      </c>
      <c r="H133" s="21">
        <f>965935.36+53883.5</f>
        <v>1019818.86</v>
      </c>
      <c r="I133" s="21">
        <f>589015.32+32734.94</f>
        <v>621750.25999999989</v>
      </c>
      <c r="J133" s="23"/>
      <c r="K133" s="15">
        <v>43060</v>
      </c>
      <c r="L133" s="15">
        <v>43179</v>
      </c>
      <c r="M133" s="38">
        <v>478839.74</v>
      </c>
      <c r="N133" s="16">
        <v>0.9</v>
      </c>
      <c r="O133" s="16">
        <f t="shared" si="4"/>
        <v>0.77014803339205695</v>
      </c>
      <c r="P133" s="17" t="s">
        <v>21</v>
      </c>
      <c r="S133" s="86"/>
    </row>
    <row r="134" spans="2:19" s="18" customFormat="1" ht="24" x14ac:dyDescent="0.25">
      <c r="B134" s="8">
        <f t="shared" si="5"/>
        <v>129</v>
      </c>
      <c r="C134" s="9"/>
      <c r="D134" s="26" t="s">
        <v>315</v>
      </c>
      <c r="E134" s="12" t="s">
        <v>316</v>
      </c>
      <c r="F134" s="12" t="s">
        <v>317</v>
      </c>
      <c r="G134" s="13">
        <f t="shared" si="6"/>
        <v>3180181.42</v>
      </c>
      <c r="H134" s="21">
        <f>984934.74+95246.68</f>
        <v>1080181.42</v>
      </c>
      <c r="I134" s="21">
        <f>1914490.47+185509.53</f>
        <v>2100000</v>
      </c>
      <c r="J134" s="23"/>
      <c r="K134" s="15">
        <v>43060</v>
      </c>
      <c r="L134" s="15">
        <v>43258</v>
      </c>
      <c r="M134" s="38">
        <v>1123638.83</v>
      </c>
      <c r="N134" s="16">
        <v>0.45</v>
      </c>
      <c r="O134" s="16">
        <f t="shared" si="4"/>
        <v>0.53506610952380951</v>
      </c>
      <c r="P134" s="17" t="s">
        <v>21</v>
      </c>
      <c r="S134" s="86"/>
    </row>
    <row r="135" spans="2:19" s="18" customFormat="1" ht="24" x14ac:dyDescent="0.25">
      <c r="B135" s="8">
        <f t="shared" si="5"/>
        <v>130</v>
      </c>
      <c r="C135" s="9"/>
      <c r="D135" s="26" t="s">
        <v>318</v>
      </c>
      <c r="E135" s="12" t="s">
        <v>319</v>
      </c>
      <c r="F135" s="12" t="s">
        <v>172</v>
      </c>
      <c r="G135" s="13">
        <f t="shared" si="6"/>
        <v>3945917.45</v>
      </c>
      <c r="H135" s="21">
        <f>1570647.79+125269.96</f>
        <v>1695917.75</v>
      </c>
      <c r="I135" s="21">
        <f>2083721.19+166278.51</f>
        <v>2249999.7000000002</v>
      </c>
      <c r="J135" s="23"/>
      <c r="K135" s="15">
        <v>43060</v>
      </c>
      <c r="L135" s="15">
        <v>43200</v>
      </c>
      <c r="M135" s="38">
        <v>625116.36</v>
      </c>
      <c r="N135" s="16">
        <v>0</v>
      </c>
      <c r="O135" s="16">
        <f t="shared" ref="O135:O199" si="7">+M135/I135</f>
        <v>0.27782953037727071</v>
      </c>
      <c r="P135" s="17" t="s">
        <v>21</v>
      </c>
      <c r="S135" s="86"/>
    </row>
    <row r="136" spans="2:19" s="18" customFormat="1" ht="36" x14ac:dyDescent="0.25">
      <c r="B136" s="8">
        <f t="shared" ref="B136:B199" si="8">+B135+1</f>
        <v>131</v>
      </c>
      <c r="C136" s="9"/>
      <c r="D136" s="26" t="s">
        <v>320</v>
      </c>
      <c r="E136" s="12" t="s">
        <v>321</v>
      </c>
      <c r="F136" s="12" t="s">
        <v>322</v>
      </c>
      <c r="G136" s="13">
        <f t="shared" si="6"/>
        <v>3197702.12</v>
      </c>
      <c r="H136" s="21">
        <v>1500000</v>
      </c>
      <c r="I136" s="21">
        <v>1500000</v>
      </c>
      <c r="J136" s="27">
        <f>98851.06+98851.06</f>
        <v>197702.12</v>
      </c>
      <c r="K136" s="15">
        <v>43091</v>
      </c>
      <c r="L136" s="15">
        <v>43238</v>
      </c>
      <c r="M136" s="38">
        <v>699296.47</v>
      </c>
      <c r="N136" s="16">
        <v>0.33</v>
      </c>
      <c r="O136" s="16">
        <f t="shared" si="7"/>
        <v>0.46619764666666663</v>
      </c>
      <c r="P136" s="17" t="s">
        <v>21</v>
      </c>
      <c r="S136" s="86"/>
    </row>
    <row r="137" spans="2:19" s="18" customFormat="1" ht="24" x14ac:dyDescent="0.25">
      <c r="B137" s="8">
        <f t="shared" si="8"/>
        <v>132</v>
      </c>
      <c r="C137" s="9"/>
      <c r="D137" s="26" t="s">
        <v>323</v>
      </c>
      <c r="E137" s="12" t="s">
        <v>324</v>
      </c>
      <c r="F137" s="12" t="s">
        <v>82</v>
      </c>
      <c r="G137" s="13">
        <f t="shared" si="6"/>
        <v>2625357.86</v>
      </c>
      <c r="H137" s="21">
        <f>467885.97+4678.45</f>
        <v>472564.42</v>
      </c>
      <c r="I137" s="21">
        <f>2131480.51+21312.93</f>
        <v>2152793.44</v>
      </c>
      <c r="J137" s="23"/>
      <c r="K137" s="15">
        <v>43060</v>
      </c>
      <c r="L137" s="15">
        <v>43179</v>
      </c>
      <c r="M137" s="38">
        <v>782839.23</v>
      </c>
      <c r="N137" s="16">
        <v>0.2</v>
      </c>
      <c r="O137" s="16">
        <f t="shared" si="7"/>
        <v>0.36363880317286734</v>
      </c>
      <c r="P137" s="17" t="s">
        <v>21</v>
      </c>
      <c r="S137" s="86"/>
    </row>
    <row r="138" spans="2:19" s="18" customFormat="1" ht="36" x14ac:dyDescent="0.25">
      <c r="B138" s="8">
        <f t="shared" si="8"/>
        <v>133</v>
      </c>
      <c r="C138" s="9"/>
      <c r="D138" s="26" t="s">
        <v>325</v>
      </c>
      <c r="E138" s="12" t="s">
        <v>326</v>
      </c>
      <c r="F138" s="12" t="s">
        <v>240</v>
      </c>
      <c r="G138" s="13">
        <f t="shared" si="6"/>
        <v>1959994.49</v>
      </c>
      <c r="H138" s="21">
        <f>959994.49+20002.75</f>
        <v>979997.24</v>
      </c>
      <c r="I138" s="21">
        <f>959994.49+20002.76</f>
        <v>979997.25</v>
      </c>
      <c r="J138" s="23"/>
      <c r="K138" s="15">
        <v>43060</v>
      </c>
      <c r="L138" s="15">
        <v>43179</v>
      </c>
      <c r="M138" s="38">
        <v>979997.25</v>
      </c>
      <c r="N138" s="16">
        <v>1</v>
      </c>
      <c r="O138" s="16">
        <f t="shared" si="7"/>
        <v>1</v>
      </c>
      <c r="P138" s="17" t="s">
        <v>21</v>
      </c>
      <c r="S138" s="86"/>
    </row>
    <row r="139" spans="2:19" s="18" customFormat="1" ht="24" x14ac:dyDescent="0.25">
      <c r="B139" s="8">
        <f t="shared" si="8"/>
        <v>134</v>
      </c>
      <c r="C139" s="9"/>
      <c r="D139" s="26" t="s">
        <v>327</v>
      </c>
      <c r="E139" s="12" t="s">
        <v>328</v>
      </c>
      <c r="F139" s="12" t="s">
        <v>329</v>
      </c>
      <c r="G139" s="13">
        <f t="shared" si="6"/>
        <v>6319241.4100000001</v>
      </c>
      <c r="H139" s="21">
        <f>4341034.66+328206.75</f>
        <v>4669241.41</v>
      </c>
      <c r="I139" s="21">
        <f>1533961.49+116038.51</f>
        <v>1650000</v>
      </c>
      <c r="J139" s="23"/>
      <c r="K139" s="15">
        <v>43075</v>
      </c>
      <c r="L139" s="15">
        <v>43234</v>
      </c>
      <c r="M139" s="38">
        <v>747415.71</v>
      </c>
      <c r="N139" s="16">
        <v>0.28999999999999998</v>
      </c>
      <c r="O139" s="16">
        <f t="shared" si="7"/>
        <v>0.45297921818181813</v>
      </c>
      <c r="P139" s="17" t="s">
        <v>21</v>
      </c>
      <c r="S139" s="86"/>
    </row>
    <row r="140" spans="2:19" s="18" customFormat="1" ht="24" x14ac:dyDescent="0.25">
      <c r="B140" s="8">
        <f t="shared" si="8"/>
        <v>135</v>
      </c>
      <c r="C140" s="9"/>
      <c r="D140" s="26" t="s">
        <v>330</v>
      </c>
      <c r="E140" s="12" t="s">
        <v>331</v>
      </c>
      <c r="F140" s="12" t="s">
        <v>240</v>
      </c>
      <c r="G140" s="13">
        <f t="shared" si="6"/>
        <v>2103994.54</v>
      </c>
      <c r="H140" s="21">
        <f>1951753.27+152241.27</f>
        <v>2103994.54</v>
      </c>
      <c r="I140" s="21"/>
      <c r="J140" s="23"/>
      <c r="K140" s="15">
        <v>43098</v>
      </c>
      <c r="L140" s="15">
        <v>43217</v>
      </c>
      <c r="M140" s="38">
        <v>0</v>
      </c>
      <c r="N140" s="16">
        <v>0.41</v>
      </c>
      <c r="O140" s="16">
        <v>0</v>
      </c>
      <c r="P140" s="17" t="s">
        <v>21</v>
      </c>
      <c r="S140" s="86"/>
    </row>
    <row r="141" spans="2:19" s="18" customFormat="1" ht="36" x14ac:dyDescent="0.25">
      <c r="B141" s="8">
        <f t="shared" si="8"/>
        <v>136</v>
      </c>
      <c r="C141" s="9"/>
      <c r="D141" s="26" t="s">
        <v>332</v>
      </c>
      <c r="E141" s="12" t="s">
        <v>333</v>
      </c>
      <c r="F141" s="12" t="s">
        <v>334</v>
      </c>
      <c r="G141" s="13">
        <f t="shared" si="6"/>
        <v>2052749.15</v>
      </c>
      <c r="H141" s="21">
        <f>607278.71+45470.44</f>
        <v>652749.14999999991</v>
      </c>
      <c r="I141" s="21">
        <f>1302402.76+97597.24</f>
        <v>1400000</v>
      </c>
      <c r="J141" s="23"/>
      <c r="K141" s="15">
        <v>43060</v>
      </c>
      <c r="L141" s="15">
        <v>43179</v>
      </c>
      <c r="M141" s="38">
        <v>1172059.32</v>
      </c>
      <c r="N141" s="16">
        <v>0.95</v>
      </c>
      <c r="O141" s="16">
        <f t="shared" si="7"/>
        <v>0.83718522857142863</v>
      </c>
      <c r="P141" s="17" t="s">
        <v>21</v>
      </c>
      <c r="S141" s="86"/>
    </row>
    <row r="142" spans="2:19" s="18" customFormat="1" ht="30" customHeight="1" x14ac:dyDescent="0.25">
      <c r="B142" s="8">
        <f t="shared" si="8"/>
        <v>137</v>
      </c>
      <c r="C142" s="9"/>
      <c r="D142" s="26" t="s">
        <v>335</v>
      </c>
      <c r="E142" s="12" t="s">
        <v>336</v>
      </c>
      <c r="F142" s="12" t="s">
        <v>20</v>
      </c>
      <c r="G142" s="13">
        <f t="shared" si="6"/>
        <v>2595303.84</v>
      </c>
      <c r="H142" s="21">
        <f>1320336.82+78099.22</f>
        <v>1398436.04</v>
      </c>
      <c r="I142" s="21">
        <f>1130176.96+66690.84</f>
        <v>1196867.8</v>
      </c>
      <c r="J142" s="23"/>
      <c r="K142" s="15">
        <v>43068</v>
      </c>
      <c r="L142" s="15">
        <v>43241</v>
      </c>
      <c r="M142" s="38">
        <v>424804.86</v>
      </c>
      <c r="N142" s="16">
        <v>0.11</v>
      </c>
      <c r="O142" s="16">
        <f t="shared" si="7"/>
        <v>0.35493047770188152</v>
      </c>
      <c r="P142" s="17" t="s">
        <v>21</v>
      </c>
      <c r="S142" s="86"/>
    </row>
    <row r="143" spans="2:19" s="18" customFormat="1" ht="48" x14ac:dyDescent="0.25">
      <c r="B143" s="8">
        <f t="shared" si="8"/>
        <v>138</v>
      </c>
      <c r="C143" s="9"/>
      <c r="D143" s="26" t="s">
        <v>337</v>
      </c>
      <c r="E143" s="12" t="s">
        <v>338</v>
      </c>
      <c r="F143" s="12" t="s">
        <v>308</v>
      </c>
      <c r="G143" s="13">
        <f t="shared" si="6"/>
        <v>2284203.7700000005</v>
      </c>
      <c r="H143" s="21">
        <f>1062463.77+79638.11</f>
        <v>1142101.8800000001</v>
      </c>
      <c r="I143" s="21">
        <f>1062463.77+79638.12</f>
        <v>1142101.8900000001</v>
      </c>
      <c r="J143" s="23"/>
      <c r="K143" s="15">
        <v>43060</v>
      </c>
      <c r="L143" s="15">
        <v>43179</v>
      </c>
      <c r="M143" s="38">
        <v>746364.17</v>
      </c>
      <c r="N143" s="16">
        <v>0.7</v>
      </c>
      <c r="O143" s="16">
        <f t="shared" si="7"/>
        <v>0.6535005121128028</v>
      </c>
      <c r="P143" s="17" t="s">
        <v>21</v>
      </c>
      <c r="S143" s="86"/>
    </row>
    <row r="144" spans="2:19" s="18" customFormat="1" ht="48" x14ac:dyDescent="0.25">
      <c r="B144" s="8">
        <f t="shared" si="8"/>
        <v>139</v>
      </c>
      <c r="C144" s="9"/>
      <c r="D144" s="26" t="s">
        <v>339</v>
      </c>
      <c r="E144" s="12" t="s">
        <v>340</v>
      </c>
      <c r="F144" s="12" t="s">
        <v>308</v>
      </c>
      <c r="G144" s="13">
        <f t="shared" si="6"/>
        <v>7917545.9199999999</v>
      </c>
      <c r="H144" s="21">
        <f>5374302.76+300139.29</f>
        <v>5674442.0499999998</v>
      </c>
      <c r="I144" s="21">
        <f>2124375.57+118728.3</f>
        <v>2243103.8699999996</v>
      </c>
      <c r="J144" s="23"/>
      <c r="K144" s="15">
        <v>43060</v>
      </c>
      <c r="L144" s="15">
        <v>43228</v>
      </c>
      <c r="M144" s="38">
        <v>915814.82</v>
      </c>
      <c r="N144" s="16">
        <v>0.22</v>
      </c>
      <c r="O144" s="16">
        <f t="shared" si="7"/>
        <v>0.40828016582219179</v>
      </c>
      <c r="P144" s="17" t="s">
        <v>21</v>
      </c>
      <c r="S144" s="86"/>
    </row>
    <row r="145" spans="2:19" s="18" customFormat="1" ht="48" x14ac:dyDescent="0.25">
      <c r="B145" s="8">
        <f t="shared" si="8"/>
        <v>140</v>
      </c>
      <c r="C145" s="9"/>
      <c r="D145" s="26" t="s">
        <v>341</v>
      </c>
      <c r="E145" s="12" t="s">
        <v>506</v>
      </c>
      <c r="F145" s="12" t="s">
        <v>308</v>
      </c>
      <c r="G145" s="13">
        <f t="shared" si="6"/>
        <v>3282780.72</v>
      </c>
      <c r="H145" s="21">
        <f>1526726.82+114663.54</f>
        <v>1641390.36</v>
      </c>
      <c r="I145" s="21">
        <f>1526726.82+114663.54</f>
        <v>1641390.36</v>
      </c>
      <c r="J145" s="23"/>
      <c r="K145" s="15">
        <v>43060</v>
      </c>
      <c r="L145" s="15">
        <v>43179</v>
      </c>
      <c r="M145" s="38">
        <v>1373206.89</v>
      </c>
      <c r="N145" s="16">
        <v>0.91</v>
      </c>
      <c r="O145" s="16">
        <f t="shared" si="7"/>
        <v>0.83661201105141125</v>
      </c>
      <c r="P145" s="17" t="s">
        <v>21</v>
      </c>
      <c r="S145" s="86"/>
    </row>
    <row r="146" spans="2:19" s="18" customFormat="1" ht="36" x14ac:dyDescent="0.25">
      <c r="B146" s="8">
        <f t="shared" si="8"/>
        <v>141</v>
      </c>
      <c r="C146" s="9"/>
      <c r="D146" s="26" t="s">
        <v>342</v>
      </c>
      <c r="E146" s="12" t="s">
        <v>343</v>
      </c>
      <c r="F146" s="12" t="s">
        <v>234</v>
      </c>
      <c r="G146" s="13">
        <f t="shared" si="6"/>
        <v>5420607.9000000004</v>
      </c>
      <c r="H146" s="28">
        <f>2857164.38+63443.52</f>
        <v>2920607.9</v>
      </c>
      <c r="I146" s="28">
        <f>2445664.83+54335.17</f>
        <v>2500000</v>
      </c>
      <c r="J146" s="23"/>
      <c r="K146" s="15">
        <v>43112</v>
      </c>
      <c r="L146" s="15">
        <v>43231</v>
      </c>
      <c r="M146" s="38">
        <v>972388.96</v>
      </c>
      <c r="N146" s="16">
        <v>0.16</v>
      </c>
      <c r="O146" s="16">
        <f t="shared" si="7"/>
        <v>0.38895558399999997</v>
      </c>
      <c r="P146" s="17" t="s">
        <v>21</v>
      </c>
      <c r="S146" s="86"/>
    </row>
    <row r="147" spans="2:19" s="18" customFormat="1" ht="60" x14ac:dyDescent="0.25">
      <c r="B147" s="8">
        <f t="shared" si="8"/>
        <v>142</v>
      </c>
      <c r="C147" s="9"/>
      <c r="D147" s="26" t="s">
        <v>344</v>
      </c>
      <c r="E147" s="12" t="s">
        <v>345</v>
      </c>
      <c r="F147" s="12" t="s">
        <v>308</v>
      </c>
      <c r="G147" s="13">
        <f t="shared" si="6"/>
        <v>3682814.5999999996</v>
      </c>
      <c r="H147" s="21">
        <f>2398719.22+65313.82</f>
        <v>2464033.04</v>
      </c>
      <c r="I147" s="21">
        <f>1186274.38+32507.18</f>
        <v>1218781.5599999998</v>
      </c>
      <c r="J147" s="23"/>
      <c r="K147" s="15">
        <v>43060</v>
      </c>
      <c r="L147" s="15">
        <v>43179</v>
      </c>
      <c r="M147" s="38">
        <v>1067579.75</v>
      </c>
      <c r="N147" s="16">
        <v>0.9</v>
      </c>
      <c r="O147" s="16">
        <f t="shared" si="7"/>
        <v>0.87594018898677806</v>
      </c>
      <c r="P147" s="17" t="s">
        <v>21</v>
      </c>
      <c r="S147" s="86"/>
    </row>
    <row r="148" spans="2:19" s="18" customFormat="1" ht="60" x14ac:dyDescent="0.25">
      <c r="B148" s="8">
        <f t="shared" si="8"/>
        <v>143</v>
      </c>
      <c r="C148" s="9"/>
      <c r="D148" s="26" t="s">
        <v>346</v>
      </c>
      <c r="E148" s="12" t="s">
        <v>347</v>
      </c>
      <c r="F148" s="12" t="s">
        <v>160</v>
      </c>
      <c r="G148" s="13">
        <f t="shared" si="6"/>
        <v>2499697.06</v>
      </c>
      <c r="H148" s="21">
        <v>1249848.53</v>
      </c>
      <c r="I148" s="21">
        <v>1249848.53</v>
      </c>
      <c r="J148" s="23"/>
      <c r="K148" s="15">
        <v>43068</v>
      </c>
      <c r="L148" s="15">
        <v>43216</v>
      </c>
      <c r="M148" s="38">
        <v>989762.52</v>
      </c>
      <c r="N148" s="16">
        <v>0.75</v>
      </c>
      <c r="O148" s="16">
        <f t="shared" si="7"/>
        <v>0.79190597599854762</v>
      </c>
      <c r="P148" s="17" t="s">
        <v>21</v>
      </c>
      <c r="S148" s="86"/>
    </row>
    <row r="149" spans="2:19" s="18" customFormat="1" ht="48" x14ac:dyDescent="0.25">
      <c r="B149" s="8">
        <f t="shared" si="8"/>
        <v>144</v>
      </c>
      <c r="C149" s="9"/>
      <c r="D149" s="26" t="s">
        <v>348</v>
      </c>
      <c r="E149" s="12" t="s">
        <v>349</v>
      </c>
      <c r="F149" s="19" t="s">
        <v>39</v>
      </c>
      <c r="G149" s="13">
        <f t="shared" si="6"/>
        <v>1935264.6600000001</v>
      </c>
      <c r="H149" s="21">
        <f>935264.65+32367.68</f>
        <v>967632.33000000007</v>
      </c>
      <c r="I149" s="21">
        <f>935264.66+32367.67</f>
        <v>967632.33000000007</v>
      </c>
      <c r="J149" s="23"/>
      <c r="K149" s="15">
        <v>43060</v>
      </c>
      <c r="L149" s="15">
        <v>43179</v>
      </c>
      <c r="M149" s="38">
        <v>280579.39</v>
      </c>
      <c r="N149" s="59">
        <v>0</v>
      </c>
      <c r="O149" s="16">
        <f t="shared" si="7"/>
        <v>0.28996487746539018</v>
      </c>
      <c r="P149" s="17" t="s">
        <v>21</v>
      </c>
      <c r="S149" s="86"/>
    </row>
    <row r="150" spans="2:19" s="18" customFormat="1" ht="24" x14ac:dyDescent="0.25">
      <c r="B150" s="8">
        <f t="shared" si="8"/>
        <v>145</v>
      </c>
      <c r="C150" s="9"/>
      <c r="D150" s="10" t="s">
        <v>350</v>
      </c>
      <c r="E150" s="12" t="s">
        <v>351</v>
      </c>
      <c r="F150" s="12" t="s">
        <v>352</v>
      </c>
      <c r="G150" s="13">
        <f t="shared" si="6"/>
        <v>185440.5</v>
      </c>
      <c r="H150" s="21">
        <v>75440.5</v>
      </c>
      <c r="I150" s="21">
        <v>110000</v>
      </c>
      <c r="J150" s="23"/>
      <c r="K150" s="15">
        <v>43040</v>
      </c>
      <c r="L150" s="15">
        <v>43119</v>
      </c>
      <c r="M150" s="88">
        <v>63969.94</v>
      </c>
      <c r="N150" s="16">
        <v>0.8</v>
      </c>
      <c r="O150" s="16">
        <f t="shared" si="7"/>
        <v>0.58154490909090906</v>
      </c>
      <c r="P150" s="17" t="s">
        <v>34</v>
      </c>
      <c r="S150" s="86"/>
    </row>
    <row r="151" spans="2:19" s="18" customFormat="1" ht="24" x14ac:dyDescent="0.25">
      <c r="B151" s="8">
        <f t="shared" si="8"/>
        <v>146</v>
      </c>
      <c r="C151" s="9"/>
      <c r="D151" s="10" t="s">
        <v>350</v>
      </c>
      <c r="E151" s="12" t="s">
        <v>353</v>
      </c>
      <c r="F151" s="12" t="s">
        <v>352</v>
      </c>
      <c r="G151" s="13">
        <f t="shared" si="6"/>
        <v>196232.47999999998</v>
      </c>
      <c r="H151" s="21">
        <v>86232.48</v>
      </c>
      <c r="I151" s="21">
        <v>110000</v>
      </c>
      <c r="J151" s="23"/>
      <c r="K151" s="15">
        <v>43040</v>
      </c>
      <c r="L151" s="15">
        <v>43119</v>
      </c>
      <c r="M151" s="88">
        <v>62936.39</v>
      </c>
      <c r="N151" s="16">
        <v>0.8</v>
      </c>
      <c r="O151" s="16">
        <f t="shared" si="7"/>
        <v>0.57214900000000002</v>
      </c>
      <c r="P151" s="17" t="s">
        <v>34</v>
      </c>
      <c r="S151" s="86"/>
    </row>
    <row r="152" spans="2:19" s="18" customFormat="1" ht="24" x14ac:dyDescent="0.25">
      <c r="B152" s="8">
        <f t="shared" si="8"/>
        <v>147</v>
      </c>
      <c r="C152" s="9"/>
      <c r="D152" s="10" t="s">
        <v>354</v>
      </c>
      <c r="E152" s="12" t="s">
        <v>316</v>
      </c>
      <c r="F152" s="12" t="s">
        <v>73</v>
      </c>
      <c r="G152" s="13">
        <f t="shared" si="6"/>
        <v>146782.32999999999</v>
      </c>
      <c r="H152" s="21"/>
      <c r="I152" s="21">
        <v>146782.32999999999</v>
      </c>
      <c r="J152" s="23"/>
      <c r="K152" s="15">
        <v>43040</v>
      </c>
      <c r="L152" s="15">
        <v>43069</v>
      </c>
      <c r="M152" s="38">
        <v>131394.75</v>
      </c>
      <c r="N152" s="16">
        <v>0.92</v>
      </c>
      <c r="O152" s="16">
        <f t="shared" si="7"/>
        <v>0.895167354272139</v>
      </c>
      <c r="P152" s="17" t="s">
        <v>34</v>
      </c>
      <c r="S152" s="86"/>
    </row>
    <row r="153" spans="2:19" s="18" customFormat="1" ht="24" x14ac:dyDescent="0.25">
      <c r="B153" s="8">
        <f t="shared" si="8"/>
        <v>148</v>
      </c>
      <c r="C153" s="9"/>
      <c r="D153" s="26" t="s">
        <v>355</v>
      </c>
      <c r="E153" s="12" t="s">
        <v>356</v>
      </c>
      <c r="F153" s="19" t="s">
        <v>329</v>
      </c>
      <c r="G153" s="13">
        <f t="shared" si="6"/>
        <v>254819.26</v>
      </c>
      <c r="H153" s="21">
        <v>129819.26</v>
      </c>
      <c r="I153" s="21">
        <v>125000</v>
      </c>
      <c r="J153" s="23"/>
      <c r="K153" s="15">
        <v>43040</v>
      </c>
      <c r="L153" s="15">
        <v>43144</v>
      </c>
      <c r="M153" s="38">
        <v>102086.47</v>
      </c>
      <c r="N153" s="16">
        <v>0.85</v>
      </c>
      <c r="O153" s="16">
        <f t="shared" si="7"/>
        <v>0.81669175999999999</v>
      </c>
      <c r="P153" s="17" t="s">
        <v>34</v>
      </c>
      <c r="S153" s="86"/>
    </row>
    <row r="154" spans="2:19" s="18" customFormat="1" ht="24" x14ac:dyDescent="0.25">
      <c r="B154" s="8">
        <f t="shared" si="8"/>
        <v>149</v>
      </c>
      <c r="C154" s="9"/>
      <c r="D154" s="10" t="s">
        <v>357</v>
      </c>
      <c r="E154" s="12" t="s">
        <v>358</v>
      </c>
      <c r="F154" s="12" t="s">
        <v>20</v>
      </c>
      <c r="G154" s="13">
        <f t="shared" si="6"/>
        <v>380163.88</v>
      </c>
      <c r="H154" s="21">
        <v>151305.22</v>
      </c>
      <c r="I154" s="21">
        <v>228858.66</v>
      </c>
      <c r="J154" s="23"/>
      <c r="K154" s="15">
        <v>43040</v>
      </c>
      <c r="L154" s="15">
        <v>43099</v>
      </c>
      <c r="M154" s="38">
        <v>228858.66</v>
      </c>
      <c r="N154" s="16">
        <v>1</v>
      </c>
      <c r="O154" s="16">
        <f t="shared" si="7"/>
        <v>1</v>
      </c>
      <c r="P154" s="17" t="s">
        <v>34</v>
      </c>
      <c r="S154" s="86"/>
    </row>
    <row r="155" spans="2:19" s="18" customFormat="1" ht="36" x14ac:dyDescent="0.25">
      <c r="B155" s="8">
        <f t="shared" si="8"/>
        <v>150</v>
      </c>
      <c r="C155" s="9"/>
      <c r="D155" s="26" t="s">
        <v>359</v>
      </c>
      <c r="E155" s="12" t="s">
        <v>360</v>
      </c>
      <c r="F155" s="12" t="s">
        <v>234</v>
      </c>
      <c r="G155" s="13">
        <f t="shared" si="6"/>
        <v>14067577.200000001</v>
      </c>
      <c r="H155" s="21">
        <f>7299622.66+1481139.47</f>
        <v>8780762.1300000008</v>
      </c>
      <c r="I155" s="21">
        <f>4394742.38+892072.69</f>
        <v>5286815.07</v>
      </c>
      <c r="J155" s="29"/>
      <c r="K155" s="15">
        <v>43091</v>
      </c>
      <c r="L155" s="15">
        <v>43301</v>
      </c>
      <c r="M155" s="38">
        <v>2338828.96</v>
      </c>
      <c r="N155" s="16">
        <v>0.42</v>
      </c>
      <c r="O155" s="16">
        <f t="shared" si="7"/>
        <v>0.44238902421075227</v>
      </c>
      <c r="P155" s="17" t="s">
        <v>361</v>
      </c>
      <c r="S155" s="86"/>
    </row>
    <row r="156" spans="2:19" s="18" customFormat="1" ht="24" x14ac:dyDescent="0.25">
      <c r="B156" s="8">
        <f t="shared" si="8"/>
        <v>151</v>
      </c>
      <c r="C156" s="9"/>
      <c r="D156" s="10" t="s">
        <v>362</v>
      </c>
      <c r="E156" s="11" t="s">
        <v>363</v>
      </c>
      <c r="F156" s="11" t="s">
        <v>57</v>
      </c>
      <c r="G156" s="13">
        <f t="shared" si="6"/>
        <v>700874.04</v>
      </c>
      <c r="H156" s="21">
        <v>350437.02</v>
      </c>
      <c r="I156" s="21">
        <v>350437.02</v>
      </c>
      <c r="J156" s="23"/>
      <c r="K156" s="15">
        <v>43045</v>
      </c>
      <c r="L156" s="15">
        <v>43192</v>
      </c>
      <c r="M156" s="88">
        <v>132460.58000000002</v>
      </c>
      <c r="N156" s="16">
        <v>0.25</v>
      </c>
      <c r="O156" s="16">
        <f t="shared" si="7"/>
        <v>0.37798683483839696</v>
      </c>
      <c r="P156" s="17" t="s">
        <v>34</v>
      </c>
      <c r="S156" s="86"/>
    </row>
    <row r="157" spans="2:19" s="18" customFormat="1" ht="36" x14ac:dyDescent="0.25">
      <c r="B157" s="8">
        <f t="shared" si="8"/>
        <v>152</v>
      </c>
      <c r="C157" s="9"/>
      <c r="D157" s="26" t="s">
        <v>364</v>
      </c>
      <c r="E157" s="12" t="s">
        <v>507</v>
      </c>
      <c r="F157" s="12" t="s">
        <v>365</v>
      </c>
      <c r="G157" s="13">
        <f t="shared" si="6"/>
        <v>844424.9</v>
      </c>
      <c r="H157" s="30"/>
      <c r="I157" s="31">
        <f>739876.41+104548.49</f>
        <v>844424.9</v>
      </c>
      <c r="J157" s="23"/>
      <c r="K157" s="15">
        <v>43045</v>
      </c>
      <c r="L157" s="15">
        <v>43231</v>
      </c>
      <c r="M157" s="88">
        <v>221962.92</v>
      </c>
      <c r="N157" s="16">
        <v>0.21</v>
      </c>
      <c r="O157" s="16">
        <f t="shared" si="7"/>
        <v>0.26285691006980016</v>
      </c>
      <c r="P157" s="17" t="s">
        <v>34</v>
      </c>
      <c r="S157" s="86"/>
    </row>
    <row r="158" spans="2:19" s="18" customFormat="1" ht="24" x14ac:dyDescent="0.25">
      <c r="B158" s="8">
        <f t="shared" si="8"/>
        <v>153</v>
      </c>
      <c r="C158" s="9"/>
      <c r="D158" s="26" t="s">
        <v>366</v>
      </c>
      <c r="E158" s="12" t="s">
        <v>367</v>
      </c>
      <c r="F158" s="12" t="s">
        <v>237</v>
      </c>
      <c r="G158" s="13">
        <f t="shared" si="6"/>
        <v>806247.84000000008</v>
      </c>
      <c r="H158" s="21">
        <f>524159.32+78525.7-57419.61</f>
        <v>545265.41</v>
      </c>
      <c r="I158" s="21">
        <f>250880.33+37585.05-27482.95</f>
        <v>260982.43</v>
      </c>
      <c r="J158" s="23"/>
      <c r="K158" s="15">
        <v>43052</v>
      </c>
      <c r="L158" s="15">
        <v>43141</v>
      </c>
      <c r="M158" s="38">
        <v>175035.75</v>
      </c>
      <c r="N158" s="16">
        <v>0.65</v>
      </c>
      <c r="O158" s="16">
        <f t="shared" si="7"/>
        <v>0.67068020632653313</v>
      </c>
      <c r="P158" s="17" t="s">
        <v>34</v>
      </c>
      <c r="S158" s="86"/>
    </row>
    <row r="159" spans="2:19" s="18" customFormat="1" ht="36" x14ac:dyDescent="0.25">
      <c r="B159" s="8">
        <f t="shared" si="8"/>
        <v>154</v>
      </c>
      <c r="C159" s="9"/>
      <c r="D159" s="26" t="s">
        <v>368</v>
      </c>
      <c r="E159" s="12" t="s">
        <v>369</v>
      </c>
      <c r="F159" s="12" t="s">
        <v>172</v>
      </c>
      <c r="G159" s="13">
        <f t="shared" si="6"/>
        <v>370021.76</v>
      </c>
      <c r="H159" s="21">
        <f>158025.41+11996.35</f>
        <v>170021.76000000001</v>
      </c>
      <c r="I159" s="21">
        <f>185881.9+14118.1</f>
        <v>200000</v>
      </c>
      <c r="J159" s="29"/>
      <c r="K159" s="15">
        <v>43084</v>
      </c>
      <c r="L159" s="15">
        <v>43158</v>
      </c>
      <c r="M159" s="38">
        <v>115155.54</v>
      </c>
      <c r="N159" s="16">
        <v>0.46</v>
      </c>
      <c r="O159" s="16">
        <f t="shared" si="7"/>
        <v>0.57577769999999995</v>
      </c>
      <c r="P159" s="17" t="s">
        <v>34</v>
      </c>
      <c r="S159" s="86"/>
    </row>
    <row r="160" spans="2:19" s="18" customFormat="1" ht="36" x14ac:dyDescent="0.25">
      <c r="B160" s="8">
        <f t="shared" si="8"/>
        <v>155</v>
      </c>
      <c r="C160" s="9"/>
      <c r="D160" s="26" t="s">
        <v>370</v>
      </c>
      <c r="E160" s="12" t="s">
        <v>371</v>
      </c>
      <c r="F160" s="12" t="s">
        <v>372</v>
      </c>
      <c r="G160" s="13">
        <f t="shared" si="6"/>
        <v>2716332</v>
      </c>
      <c r="H160" s="32">
        <f>1274007.29+84158.71</f>
        <v>1358166</v>
      </c>
      <c r="I160" s="32">
        <f>1274007.29+84158.71</f>
        <v>1358166</v>
      </c>
      <c r="J160" s="33"/>
      <c r="K160" s="15">
        <v>43112</v>
      </c>
      <c r="L160" s="15">
        <v>43231</v>
      </c>
      <c r="M160" s="88">
        <v>924603.23</v>
      </c>
      <c r="N160" s="16">
        <v>0.83</v>
      </c>
      <c r="O160" s="16">
        <f t="shared" si="7"/>
        <v>0.68077335907392766</v>
      </c>
      <c r="P160" s="17" t="s">
        <v>21</v>
      </c>
      <c r="S160" s="86"/>
    </row>
    <row r="161" spans="2:19" s="18" customFormat="1" ht="24" x14ac:dyDescent="0.25">
      <c r="B161" s="8">
        <f t="shared" si="8"/>
        <v>156</v>
      </c>
      <c r="C161" s="9"/>
      <c r="D161" s="26" t="s">
        <v>373</v>
      </c>
      <c r="E161" s="12" t="s">
        <v>508</v>
      </c>
      <c r="F161" s="12" t="s">
        <v>252</v>
      </c>
      <c r="G161" s="13">
        <f t="shared" si="6"/>
        <v>3513291.77</v>
      </c>
      <c r="H161" s="30">
        <f>1856189+7102.77</f>
        <v>1863291.77</v>
      </c>
      <c r="I161" s="30">
        <f>1644073.11+5926.89</f>
        <v>1650000</v>
      </c>
      <c r="J161" s="23"/>
      <c r="K161" s="15">
        <v>43129</v>
      </c>
      <c r="L161" s="15">
        <v>43275</v>
      </c>
      <c r="M161" s="88">
        <v>591842.34</v>
      </c>
      <c r="N161" s="16">
        <v>0.1</v>
      </c>
      <c r="O161" s="16">
        <f t="shared" si="7"/>
        <v>0.35869232727272726</v>
      </c>
      <c r="P161" s="17" t="s">
        <v>21</v>
      </c>
      <c r="S161" s="86"/>
    </row>
    <row r="162" spans="2:19" s="18" customFormat="1" ht="36" x14ac:dyDescent="0.25">
      <c r="B162" s="8">
        <f t="shared" si="8"/>
        <v>157</v>
      </c>
      <c r="C162" s="9"/>
      <c r="D162" s="26" t="s">
        <v>374</v>
      </c>
      <c r="E162" s="12" t="s">
        <v>375</v>
      </c>
      <c r="F162" s="12" t="s">
        <v>376</v>
      </c>
      <c r="G162" s="13">
        <f t="shared" si="6"/>
        <v>2701126.8200000003</v>
      </c>
      <c r="H162" s="32">
        <f>847489.76+103637.06</f>
        <v>951126.82000000007</v>
      </c>
      <c r="I162" s="32">
        <f>1559467.81+190532.19</f>
        <v>1750000</v>
      </c>
      <c r="J162" s="29"/>
      <c r="K162" s="15">
        <v>43091</v>
      </c>
      <c r="L162" s="15">
        <v>43240</v>
      </c>
      <c r="M162" s="88">
        <v>825588.63</v>
      </c>
      <c r="N162" s="16">
        <v>0.37</v>
      </c>
      <c r="O162" s="16">
        <f t="shared" si="7"/>
        <v>0.47176493142857145</v>
      </c>
      <c r="P162" s="17" t="s">
        <v>21</v>
      </c>
      <c r="S162" s="86"/>
    </row>
    <row r="163" spans="2:19" s="18" customFormat="1" ht="24" x14ac:dyDescent="0.25">
      <c r="B163" s="8">
        <f t="shared" si="8"/>
        <v>158</v>
      </c>
      <c r="C163" s="9"/>
      <c r="D163" s="26" t="s">
        <v>377</v>
      </c>
      <c r="E163" s="12" t="s">
        <v>378</v>
      </c>
      <c r="F163" s="12" t="s">
        <v>70</v>
      </c>
      <c r="G163" s="13">
        <f t="shared" si="6"/>
        <v>2881938.01</v>
      </c>
      <c r="H163" s="32">
        <v>976688.79</v>
      </c>
      <c r="I163" s="32">
        <v>1905249.22</v>
      </c>
      <c r="J163" s="29"/>
      <c r="K163" s="15">
        <v>43091</v>
      </c>
      <c r="L163" s="15">
        <v>43210</v>
      </c>
      <c r="M163" s="88">
        <v>819038.98</v>
      </c>
      <c r="N163" s="16">
        <v>0.19</v>
      </c>
      <c r="O163" s="16">
        <f t="shared" si="7"/>
        <v>0.42988548238324431</v>
      </c>
      <c r="P163" s="17" t="s">
        <v>21</v>
      </c>
      <c r="S163" s="86"/>
    </row>
    <row r="164" spans="2:19" s="18" customFormat="1" ht="36" x14ac:dyDescent="0.25">
      <c r="B164" s="8">
        <f t="shared" si="8"/>
        <v>159</v>
      </c>
      <c r="C164" s="9"/>
      <c r="D164" s="26" t="s">
        <v>379</v>
      </c>
      <c r="E164" s="12" t="s">
        <v>509</v>
      </c>
      <c r="F164" s="12" t="s">
        <v>252</v>
      </c>
      <c r="G164" s="13">
        <f t="shared" si="6"/>
        <v>2998785.54</v>
      </c>
      <c r="H164" s="32">
        <v>1499392.77</v>
      </c>
      <c r="I164" s="32">
        <v>1499392.77</v>
      </c>
      <c r="J164" s="29"/>
      <c r="K164" s="15">
        <v>43091</v>
      </c>
      <c r="L164" s="15">
        <v>43251</v>
      </c>
      <c r="M164" s="88">
        <v>475034.86000000004</v>
      </c>
      <c r="N164" s="16">
        <v>0.36</v>
      </c>
      <c r="O164" s="16">
        <f t="shared" si="7"/>
        <v>0.31681816099460053</v>
      </c>
      <c r="P164" s="17" t="s">
        <v>21</v>
      </c>
      <c r="S164" s="86"/>
    </row>
    <row r="165" spans="2:19" s="18" customFormat="1" ht="36" x14ac:dyDescent="0.25">
      <c r="B165" s="8">
        <f t="shared" si="8"/>
        <v>160</v>
      </c>
      <c r="C165" s="9"/>
      <c r="D165" s="26" t="s">
        <v>380</v>
      </c>
      <c r="E165" s="12" t="s">
        <v>510</v>
      </c>
      <c r="F165" s="12" t="s">
        <v>381</v>
      </c>
      <c r="G165" s="13">
        <f t="shared" si="6"/>
        <v>3499999.94</v>
      </c>
      <c r="H165" s="32">
        <f>1547098.71+202901.26</f>
        <v>1749999.97</v>
      </c>
      <c r="I165" s="32">
        <f>1547098.71+202901.26</f>
        <v>1749999.97</v>
      </c>
      <c r="J165" s="29"/>
      <c r="K165" s="15">
        <v>43091</v>
      </c>
      <c r="L165" s="15">
        <v>43238</v>
      </c>
      <c r="M165" s="88">
        <v>607426.16</v>
      </c>
      <c r="N165" s="16">
        <v>0.77</v>
      </c>
      <c r="O165" s="16">
        <f t="shared" si="7"/>
        <v>0.34710066880744006</v>
      </c>
      <c r="P165" s="17" t="s">
        <v>21</v>
      </c>
      <c r="S165" s="86"/>
    </row>
    <row r="166" spans="2:19" s="18" customFormat="1" ht="36" x14ac:dyDescent="0.25">
      <c r="B166" s="8">
        <f t="shared" si="8"/>
        <v>161</v>
      </c>
      <c r="C166" s="9"/>
      <c r="D166" s="26" t="s">
        <v>382</v>
      </c>
      <c r="E166" s="12" t="s">
        <v>511</v>
      </c>
      <c r="F166" s="12" t="s">
        <v>383</v>
      </c>
      <c r="G166" s="13">
        <f t="shared" si="6"/>
        <v>10120526.530000001</v>
      </c>
      <c r="H166" s="32">
        <f>2559740.43+60786.1</f>
        <v>2620526.5300000003</v>
      </c>
      <c r="I166" s="32">
        <f>7327244.64+172755.36</f>
        <v>7500000</v>
      </c>
      <c r="J166" s="29"/>
      <c r="K166" s="15">
        <v>43091</v>
      </c>
      <c r="L166" s="15">
        <v>43210</v>
      </c>
      <c r="M166" s="88">
        <v>2198173.39</v>
      </c>
      <c r="N166" s="16">
        <v>0.18</v>
      </c>
      <c r="O166" s="16">
        <f t="shared" si="7"/>
        <v>0.29308978533333335</v>
      </c>
      <c r="P166" s="17" t="s">
        <v>21</v>
      </c>
      <c r="S166" s="86"/>
    </row>
    <row r="167" spans="2:19" s="18" customFormat="1" ht="24" x14ac:dyDescent="0.25">
      <c r="B167" s="8">
        <f t="shared" si="8"/>
        <v>162</v>
      </c>
      <c r="C167" s="9"/>
      <c r="D167" s="26" t="s">
        <v>384</v>
      </c>
      <c r="E167" s="12" t="s">
        <v>385</v>
      </c>
      <c r="F167" s="12" t="s">
        <v>252</v>
      </c>
      <c r="G167" s="13">
        <f t="shared" si="6"/>
        <v>1969492.96</v>
      </c>
      <c r="H167" s="32">
        <f>469027.91+25465.05</f>
        <v>494492.95999999996</v>
      </c>
      <c r="I167" s="32">
        <f>1398864.98+76135.02</f>
        <v>1475000</v>
      </c>
      <c r="J167" s="29"/>
      <c r="K167" s="15">
        <v>43124</v>
      </c>
      <c r="L167" s="15">
        <v>43243</v>
      </c>
      <c r="M167" s="88">
        <v>419659.49</v>
      </c>
      <c r="N167" s="16">
        <v>0</v>
      </c>
      <c r="O167" s="16">
        <f t="shared" si="7"/>
        <v>0.28451490847457628</v>
      </c>
      <c r="P167" s="17" t="s">
        <v>21</v>
      </c>
      <c r="S167" s="86"/>
    </row>
    <row r="168" spans="2:19" s="18" customFormat="1" ht="36" x14ac:dyDescent="0.25">
      <c r="B168" s="8">
        <f t="shared" si="8"/>
        <v>163</v>
      </c>
      <c r="C168" s="9"/>
      <c r="D168" s="26" t="s">
        <v>386</v>
      </c>
      <c r="E168" s="12" t="s">
        <v>387</v>
      </c>
      <c r="F168" s="12" t="s">
        <v>334</v>
      </c>
      <c r="G168" s="13">
        <f t="shared" si="6"/>
        <v>1992707.32</v>
      </c>
      <c r="H168" s="32">
        <f>1315368.54+71529.96</f>
        <v>1386898.5</v>
      </c>
      <c r="I168" s="32">
        <f>574528.79+31280.03</f>
        <v>605808.82000000007</v>
      </c>
      <c r="J168" s="29"/>
      <c r="K168" s="15">
        <v>43112</v>
      </c>
      <c r="L168" s="15">
        <v>43231</v>
      </c>
      <c r="M168" s="88">
        <v>172358.65</v>
      </c>
      <c r="N168" s="16">
        <v>0.6</v>
      </c>
      <c r="O168" s="16">
        <f t="shared" si="7"/>
        <v>0.28450997131405248</v>
      </c>
      <c r="P168" s="17" t="s">
        <v>21</v>
      </c>
      <c r="S168" s="86"/>
    </row>
    <row r="169" spans="2:19" s="18" customFormat="1" ht="24" x14ac:dyDescent="0.25">
      <c r="B169" s="8">
        <f t="shared" si="8"/>
        <v>164</v>
      </c>
      <c r="C169" s="9"/>
      <c r="D169" s="26" t="s">
        <v>388</v>
      </c>
      <c r="E169" s="12" t="s">
        <v>389</v>
      </c>
      <c r="F169" s="12" t="s">
        <v>79</v>
      </c>
      <c r="G169" s="13">
        <f t="shared" si="6"/>
        <v>7523937.4900000002</v>
      </c>
      <c r="H169" s="32">
        <f>6155549.49+368388</f>
        <v>6523937.4900000002</v>
      </c>
      <c r="I169" s="32">
        <f>943458.11+56541.89</f>
        <v>1000000</v>
      </c>
      <c r="J169" s="29"/>
      <c r="K169" s="15">
        <v>43091</v>
      </c>
      <c r="L169" s="15">
        <v>43210</v>
      </c>
      <c r="M169" s="88">
        <v>528645.12</v>
      </c>
      <c r="N169" s="16">
        <v>0.9</v>
      </c>
      <c r="O169" s="16">
        <f t="shared" si="7"/>
        <v>0.52864511999999997</v>
      </c>
      <c r="P169" s="17" t="s">
        <v>21</v>
      </c>
      <c r="S169" s="86"/>
    </row>
    <row r="170" spans="2:19" s="18" customFormat="1" ht="36" x14ac:dyDescent="0.25">
      <c r="B170" s="8">
        <f t="shared" si="8"/>
        <v>165</v>
      </c>
      <c r="C170" s="9"/>
      <c r="D170" s="26" t="s">
        <v>390</v>
      </c>
      <c r="E170" s="12" t="s">
        <v>391</v>
      </c>
      <c r="F170" s="12" t="s">
        <v>226</v>
      </c>
      <c r="G170" s="13">
        <f t="shared" si="6"/>
        <v>3334599.08</v>
      </c>
      <c r="H170" s="32">
        <f>990456.58+93447.74</f>
        <v>1083904.32</v>
      </c>
      <c r="I170" s="32">
        <f>2057102.14+193592.62</f>
        <v>2250694.7599999998</v>
      </c>
      <c r="J170" s="29"/>
      <c r="K170" s="15">
        <v>43112</v>
      </c>
      <c r="L170" s="15">
        <v>43231</v>
      </c>
      <c r="M170" s="88">
        <v>617130.64</v>
      </c>
      <c r="N170" s="16">
        <v>0.35</v>
      </c>
      <c r="O170" s="16">
        <f t="shared" si="7"/>
        <v>0.27419561771228368</v>
      </c>
      <c r="P170" s="17" t="s">
        <v>21</v>
      </c>
      <c r="S170" s="86"/>
    </row>
    <row r="171" spans="2:19" s="18" customFormat="1" ht="36" x14ac:dyDescent="0.25">
      <c r="B171" s="8">
        <f t="shared" si="8"/>
        <v>166</v>
      </c>
      <c r="C171" s="9"/>
      <c r="D171" s="26" t="s">
        <v>392</v>
      </c>
      <c r="E171" s="12" t="s">
        <v>393</v>
      </c>
      <c r="F171" s="12" t="s">
        <v>157</v>
      </c>
      <c r="G171" s="13">
        <f t="shared" si="6"/>
        <v>4203587.43</v>
      </c>
      <c r="H171" s="32">
        <f>1365906.52+87680.91</f>
        <v>1453587.43</v>
      </c>
      <c r="I171" s="32">
        <f>2584083.42+165916.58</f>
        <v>2750000</v>
      </c>
      <c r="J171" s="29"/>
      <c r="K171" s="15">
        <v>43091</v>
      </c>
      <c r="L171" s="15">
        <v>43243</v>
      </c>
      <c r="M171" s="38">
        <v>1794226.73</v>
      </c>
      <c r="N171" s="16">
        <v>0.55000000000000004</v>
      </c>
      <c r="O171" s="16">
        <f t="shared" si="7"/>
        <v>0.65244608363636358</v>
      </c>
      <c r="P171" s="17" t="s">
        <v>21</v>
      </c>
      <c r="S171" s="86"/>
    </row>
    <row r="172" spans="2:19" s="18" customFormat="1" ht="24" x14ac:dyDescent="0.25">
      <c r="B172" s="8">
        <f t="shared" si="8"/>
        <v>167</v>
      </c>
      <c r="C172" s="9"/>
      <c r="D172" s="26" t="s">
        <v>394</v>
      </c>
      <c r="E172" s="11" t="s">
        <v>395</v>
      </c>
      <c r="F172" s="12" t="s">
        <v>30</v>
      </c>
      <c r="G172" s="13">
        <f t="shared" si="6"/>
        <v>4849555.47</v>
      </c>
      <c r="H172" s="32">
        <v>2643492.69</v>
      </c>
      <c r="I172" s="32">
        <v>2206062.7799999998</v>
      </c>
      <c r="J172" s="33"/>
      <c r="K172" s="15">
        <v>43091</v>
      </c>
      <c r="L172" s="15">
        <v>43270</v>
      </c>
      <c r="M172" s="38">
        <v>1512365.64</v>
      </c>
      <c r="N172" s="16">
        <v>0.61</v>
      </c>
      <c r="O172" s="16">
        <f t="shared" si="7"/>
        <v>0.68554968322343035</v>
      </c>
      <c r="P172" s="17" t="s">
        <v>21</v>
      </c>
      <c r="S172" s="86"/>
    </row>
    <row r="173" spans="2:19" s="18" customFormat="1" ht="48" x14ac:dyDescent="0.25">
      <c r="B173" s="8">
        <f t="shared" si="8"/>
        <v>168</v>
      </c>
      <c r="C173" s="9"/>
      <c r="D173" s="26" t="s">
        <v>396</v>
      </c>
      <c r="E173" s="11" t="s">
        <v>397</v>
      </c>
      <c r="F173" s="12" t="s">
        <v>149</v>
      </c>
      <c r="G173" s="13">
        <f t="shared" si="6"/>
        <v>5188886.18</v>
      </c>
      <c r="H173" s="32">
        <f>2564819.47+124066.71</f>
        <v>2688886.18</v>
      </c>
      <c r="I173" s="32">
        <f>2384658.47+115341.53</f>
        <v>2500000</v>
      </c>
      <c r="J173" s="33"/>
      <c r="K173" s="15">
        <v>43091</v>
      </c>
      <c r="L173" s="15">
        <v>43210</v>
      </c>
      <c r="M173" s="88">
        <v>715397.54</v>
      </c>
      <c r="N173" s="16">
        <v>0.4</v>
      </c>
      <c r="O173" s="16">
        <f t="shared" si="7"/>
        <v>0.28615901599999999</v>
      </c>
      <c r="P173" s="17" t="s">
        <v>21</v>
      </c>
      <c r="S173" s="86"/>
    </row>
    <row r="174" spans="2:19" s="18" customFormat="1" ht="24" x14ac:dyDescent="0.25">
      <c r="B174" s="8">
        <f t="shared" si="8"/>
        <v>169</v>
      </c>
      <c r="C174" s="9"/>
      <c r="D174" s="26" t="s">
        <v>398</v>
      </c>
      <c r="E174" s="12" t="s">
        <v>399</v>
      </c>
      <c r="F174" s="12" t="s">
        <v>400</v>
      </c>
      <c r="G174" s="13">
        <f t="shared" si="6"/>
        <v>2419865.9699999997</v>
      </c>
      <c r="H174" s="32">
        <v>776051.02</v>
      </c>
      <c r="I174" s="32">
        <v>1643814.95</v>
      </c>
      <c r="J174" s="33"/>
      <c r="K174" s="15">
        <v>43091</v>
      </c>
      <c r="L174" s="17" t="s">
        <v>401</v>
      </c>
      <c r="M174" s="88">
        <v>493144.49</v>
      </c>
      <c r="N174" s="16">
        <v>0.8</v>
      </c>
      <c r="O174" s="16">
        <f t="shared" si="7"/>
        <v>0.30000000304170493</v>
      </c>
      <c r="P174" s="17" t="s">
        <v>21</v>
      </c>
      <c r="S174" s="86"/>
    </row>
    <row r="175" spans="2:19" s="18" customFormat="1" ht="24" x14ac:dyDescent="0.25">
      <c r="B175" s="8">
        <f t="shared" si="8"/>
        <v>170</v>
      </c>
      <c r="C175" s="9"/>
      <c r="D175" s="26" t="s">
        <v>402</v>
      </c>
      <c r="E175" s="12" t="s">
        <v>403</v>
      </c>
      <c r="F175" s="12" t="s">
        <v>252</v>
      </c>
      <c r="G175" s="13">
        <f t="shared" si="6"/>
        <v>2841020.9</v>
      </c>
      <c r="H175" s="32">
        <f>1656460.51+134560.39</f>
        <v>1791020.9</v>
      </c>
      <c r="I175" s="32">
        <f>971173.54+78826.46</f>
        <v>1050000</v>
      </c>
      <c r="J175" s="33"/>
      <c r="K175" s="15">
        <v>43112</v>
      </c>
      <c r="L175" s="15">
        <v>43288</v>
      </c>
      <c r="M175" s="88">
        <v>291352.07</v>
      </c>
      <c r="N175" s="16">
        <v>0.25</v>
      </c>
      <c r="O175" s="16">
        <f t="shared" si="7"/>
        <v>0.27747816190476193</v>
      </c>
      <c r="P175" s="17" t="s">
        <v>21</v>
      </c>
      <c r="S175" s="86"/>
    </row>
    <row r="176" spans="2:19" s="18" customFormat="1" ht="24" x14ac:dyDescent="0.25">
      <c r="B176" s="8">
        <f t="shared" si="8"/>
        <v>171</v>
      </c>
      <c r="C176" s="9"/>
      <c r="D176" s="26" t="s">
        <v>404</v>
      </c>
      <c r="E176" s="12" t="s">
        <v>405</v>
      </c>
      <c r="F176" s="12" t="s">
        <v>172</v>
      </c>
      <c r="G176" s="13">
        <f t="shared" si="6"/>
        <v>980357.27</v>
      </c>
      <c r="H176" s="21">
        <v>0</v>
      </c>
      <c r="I176" s="21">
        <v>980357.27</v>
      </c>
      <c r="J176" s="33"/>
      <c r="K176" s="15">
        <v>43087</v>
      </c>
      <c r="L176" s="15">
        <v>43146</v>
      </c>
      <c r="M176" s="88">
        <v>490178.64</v>
      </c>
      <c r="N176" s="16">
        <v>0</v>
      </c>
      <c r="O176" s="16">
        <f t="shared" si="7"/>
        <v>0.5000000051001815</v>
      </c>
      <c r="P176" s="17" t="s">
        <v>34</v>
      </c>
      <c r="S176" s="86"/>
    </row>
    <row r="177" spans="2:19" s="18" customFormat="1" ht="48" x14ac:dyDescent="0.25">
      <c r="B177" s="8">
        <f t="shared" si="8"/>
        <v>172</v>
      </c>
      <c r="C177" s="9"/>
      <c r="D177" s="25" t="s">
        <v>406</v>
      </c>
      <c r="E177" s="12" t="s">
        <v>407</v>
      </c>
      <c r="F177" s="12" t="s">
        <v>20</v>
      </c>
      <c r="G177" s="13">
        <f t="shared" si="6"/>
        <v>1199999.8900000001</v>
      </c>
      <c r="H177" s="21">
        <f>554143.06+45856.83</f>
        <v>599999.89</v>
      </c>
      <c r="I177" s="21">
        <f>554143.07+45856.93</f>
        <v>600000</v>
      </c>
      <c r="J177" s="33"/>
      <c r="K177" s="15">
        <v>43091</v>
      </c>
      <c r="L177" s="15">
        <v>43180</v>
      </c>
      <c r="M177" s="88">
        <v>277071.53999999998</v>
      </c>
      <c r="N177" s="16">
        <v>0.47</v>
      </c>
      <c r="O177" s="16">
        <f t="shared" si="7"/>
        <v>0.46178589999999997</v>
      </c>
      <c r="P177" s="17" t="s">
        <v>34</v>
      </c>
      <c r="S177" s="86"/>
    </row>
    <row r="178" spans="2:19" s="18" customFormat="1" ht="36" x14ac:dyDescent="0.25">
      <c r="B178" s="8">
        <f t="shared" si="8"/>
        <v>173</v>
      </c>
      <c r="C178" s="9"/>
      <c r="D178" s="26" t="s">
        <v>408</v>
      </c>
      <c r="E178" s="12" t="s">
        <v>409</v>
      </c>
      <c r="F178" s="12" t="s">
        <v>20</v>
      </c>
      <c r="G178" s="13">
        <f t="shared" si="6"/>
        <v>3425699.59</v>
      </c>
      <c r="H178" s="31">
        <f>2207525.38+293174.21</f>
        <v>2500699.59</v>
      </c>
      <c r="I178" s="31">
        <f>816481.99+108518.01</f>
        <v>925000</v>
      </c>
      <c r="J178" s="33"/>
      <c r="K178" s="15">
        <v>43115</v>
      </c>
      <c r="L178" s="15">
        <v>43234</v>
      </c>
      <c r="M178" s="38">
        <v>757680.01</v>
      </c>
      <c r="N178" s="16">
        <v>0.78</v>
      </c>
      <c r="O178" s="16">
        <f t="shared" si="7"/>
        <v>0.81911352432432438</v>
      </c>
      <c r="P178" s="17" t="s">
        <v>21</v>
      </c>
      <c r="S178" s="86"/>
    </row>
    <row r="179" spans="2:19" s="18" customFormat="1" ht="24" x14ac:dyDescent="0.25">
      <c r="B179" s="8">
        <f t="shared" si="8"/>
        <v>174</v>
      </c>
      <c r="C179" s="9"/>
      <c r="D179" s="25" t="s">
        <v>410</v>
      </c>
      <c r="E179" s="12" t="s">
        <v>411</v>
      </c>
      <c r="F179" s="12" t="s">
        <v>30</v>
      </c>
      <c r="G179" s="13">
        <f t="shared" si="6"/>
        <v>2957135.72</v>
      </c>
      <c r="H179" s="33"/>
      <c r="I179" s="21">
        <f>2879858.98+77276.74</f>
        <v>2957135.72</v>
      </c>
      <c r="J179" s="33"/>
      <c r="K179" s="15">
        <v>43115</v>
      </c>
      <c r="L179" s="15">
        <v>43234</v>
      </c>
      <c r="M179" s="88">
        <v>2469943.2400000002</v>
      </c>
      <c r="N179" s="16">
        <v>0.9</v>
      </c>
      <c r="O179" s="16">
        <f t="shared" si="7"/>
        <v>0.83524852217469414</v>
      </c>
      <c r="P179" s="17" t="s">
        <v>21</v>
      </c>
      <c r="S179" s="86"/>
    </row>
    <row r="180" spans="2:19" s="18" customFormat="1" ht="60" x14ac:dyDescent="0.25">
      <c r="B180" s="8">
        <f t="shared" si="8"/>
        <v>175</v>
      </c>
      <c r="C180" s="9"/>
      <c r="D180" s="25" t="s">
        <v>412</v>
      </c>
      <c r="E180" s="12" t="s">
        <v>413</v>
      </c>
      <c r="F180" s="12" t="s">
        <v>20</v>
      </c>
      <c r="G180" s="13">
        <f t="shared" si="6"/>
        <v>8500000</v>
      </c>
      <c r="H180" s="21">
        <f>3975023.19+274976.81</f>
        <v>4250000</v>
      </c>
      <c r="I180" s="21">
        <f>3975023.19+274976.81</f>
        <v>4250000</v>
      </c>
      <c r="J180" s="33"/>
      <c r="K180" s="15">
        <v>43115</v>
      </c>
      <c r="L180" s="15">
        <v>43279</v>
      </c>
      <c r="M180" s="88">
        <v>1987511.6</v>
      </c>
      <c r="N180" s="16">
        <v>0.44</v>
      </c>
      <c r="O180" s="16">
        <f t="shared" si="7"/>
        <v>0.46764978823529413</v>
      </c>
      <c r="P180" s="17" t="s">
        <v>21</v>
      </c>
      <c r="S180" s="86"/>
    </row>
    <row r="181" spans="2:19" s="18" customFormat="1" ht="48" x14ac:dyDescent="0.25">
      <c r="B181" s="8">
        <f t="shared" si="8"/>
        <v>176</v>
      </c>
      <c r="C181" s="9"/>
      <c r="D181" s="26" t="s">
        <v>414</v>
      </c>
      <c r="E181" s="11" t="s">
        <v>415</v>
      </c>
      <c r="F181" s="34" t="s">
        <v>20</v>
      </c>
      <c r="G181" s="13">
        <f t="shared" ref="G181:G191" si="9">SUM(H181:J181)</f>
        <v>1148392.07</v>
      </c>
      <c r="H181" s="21">
        <f>509916.46+82145.85</f>
        <v>592062.31000000006</v>
      </c>
      <c r="I181" s="21">
        <f>479060.39+77269.37</f>
        <v>556329.76</v>
      </c>
      <c r="J181" s="22"/>
      <c r="K181" s="15">
        <v>43166</v>
      </c>
      <c r="L181" s="15">
        <v>43255</v>
      </c>
      <c r="M181" s="38">
        <v>239530.2</v>
      </c>
      <c r="N181" s="16">
        <v>0</v>
      </c>
      <c r="O181" s="16">
        <f t="shared" si="7"/>
        <v>0.43055435323107649</v>
      </c>
      <c r="P181" s="17" t="s">
        <v>34</v>
      </c>
      <c r="S181" s="86"/>
    </row>
    <row r="182" spans="2:19" s="18" customFormat="1" ht="24" x14ac:dyDescent="0.25">
      <c r="B182" s="8">
        <f t="shared" si="8"/>
        <v>177</v>
      </c>
      <c r="C182" s="9"/>
      <c r="D182" s="26" t="s">
        <v>416</v>
      </c>
      <c r="E182" s="12" t="s">
        <v>417</v>
      </c>
      <c r="F182" s="12" t="s">
        <v>20</v>
      </c>
      <c r="G182" s="13">
        <f t="shared" si="9"/>
        <v>951920.29</v>
      </c>
      <c r="H182" s="21">
        <v>441786.21</v>
      </c>
      <c r="I182" s="21">
        <v>510134.08</v>
      </c>
      <c r="J182" s="33"/>
      <c r="K182" s="15">
        <v>43091</v>
      </c>
      <c r="L182" s="15">
        <v>43209</v>
      </c>
      <c r="M182" s="88">
        <v>444179</v>
      </c>
      <c r="N182" s="16">
        <v>0.87</v>
      </c>
      <c r="O182" s="16">
        <f t="shared" si="7"/>
        <v>0.87071030424001472</v>
      </c>
      <c r="P182" s="17" t="s">
        <v>34</v>
      </c>
      <c r="S182" s="86"/>
    </row>
    <row r="183" spans="2:19" s="18" customFormat="1" ht="24" x14ac:dyDescent="0.25">
      <c r="B183" s="8">
        <f t="shared" si="8"/>
        <v>178</v>
      </c>
      <c r="C183" s="9"/>
      <c r="D183" s="26" t="s">
        <v>418</v>
      </c>
      <c r="E183" s="12" t="s">
        <v>419</v>
      </c>
      <c r="F183" s="12" t="s">
        <v>317</v>
      </c>
      <c r="G183" s="13">
        <f t="shared" si="9"/>
        <v>97939.76</v>
      </c>
      <c r="H183" s="21">
        <v>49618.55</v>
      </c>
      <c r="I183" s="21">
        <f>37029.63</f>
        <v>37029.629999999997</v>
      </c>
      <c r="J183" s="35">
        <v>11291.58</v>
      </c>
      <c r="K183" s="15">
        <v>43091</v>
      </c>
      <c r="L183" s="15">
        <v>43180</v>
      </c>
      <c r="M183" s="38">
        <v>11225.13</v>
      </c>
      <c r="N183" s="16">
        <v>0.4</v>
      </c>
      <c r="O183" s="16">
        <f t="shared" si="7"/>
        <v>0.30313913479556776</v>
      </c>
      <c r="P183" s="17" t="s">
        <v>34</v>
      </c>
      <c r="S183" s="86"/>
    </row>
    <row r="184" spans="2:19" s="18" customFormat="1" ht="36" x14ac:dyDescent="0.25">
      <c r="B184" s="8">
        <f t="shared" si="8"/>
        <v>179</v>
      </c>
      <c r="C184" s="9"/>
      <c r="D184" s="26" t="s">
        <v>420</v>
      </c>
      <c r="E184" s="12" t="s">
        <v>421</v>
      </c>
      <c r="F184" s="12" t="s">
        <v>317</v>
      </c>
      <c r="G184" s="13">
        <f t="shared" si="9"/>
        <v>117568.82999999999</v>
      </c>
      <c r="H184" s="21">
        <v>0</v>
      </c>
      <c r="I184" s="21">
        <f>105957.37</f>
        <v>105957.37</v>
      </c>
      <c r="J184" s="35">
        <v>11611.46</v>
      </c>
      <c r="K184" s="15">
        <v>43091</v>
      </c>
      <c r="L184" s="15">
        <v>43180</v>
      </c>
      <c r="M184" s="88">
        <v>3999.15</v>
      </c>
      <c r="N184" s="16">
        <v>0.15</v>
      </c>
      <c r="O184" s="16">
        <f t="shared" si="7"/>
        <v>3.7743009287603123E-2</v>
      </c>
      <c r="P184" s="17" t="s">
        <v>34</v>
      </c>
      <c r="S184" s="86"/>
    </row>
    <row r="185" spans="2:19" s="18" customFormat="1" ht="24" x14ac:dyDescent="0.25">
      <c r="B185" s="8">
        <f t="shared" si="8"/>
        <v>180</v>
      </c>
      <c r="C185" s="9"/>
      <c r="D185" s="26" t="s">
        <v>422</v>
      </c>
      <c r="E185" s="12" t="s">
        <v>423</v>
      </c>
      <c r="F185" s="12" t="s">
        <v>424</v>
      </c>
      <c r="G185" s="13">
        <f t="shared" si="9"/>
        <v>190600.34</v>
      </c>
      <c r="H185" s="33"/>
      <c r="I185" s="21">
        <f>177013</f>
        <v>177013</v>
      </c>
      <c r="J185" s="35">
        <v>13587.34</v>
      </c>
      <c r="K185" s="15">
        <v>43091</v>
      </c>
      <c r="L185" s="15">
        <v>43180</v>
      </c>
      <c r="M185" s="88">
        <v>96021.66</v>
      </c>
      <c r="N185" s="16">
        <v>0.2</v>
      </c>
      <c r="O185" s="16">
        <f t="shared" si="7"/>
        <v>0.54245541287928012</v>
      </c>
      <c r="P185" s="17" t="s">
        <v>34</v>
      </c>
      <c r="S185" s="86"/>
    </row>
    <row r="186" spans="2:19" s="18" customFormat="1" ht="24" x14ac:dyDescent="0.25">
      <c r="B186" s="8">
        <f t="shared" si="8"/>
        <v>181</v>
      </c>
      <c r="C186" s="9"/>
      <c r="D186" s="26" t="s">
        <v>425</v>
      </c>
      <c r="E186" s="12" t="s">
        <v>426</v>
      </c>
      <c r="F186" s="19" t="s">
        <v>427</v>
      </c>
      <c r="G186" s="13">
        <f t="shared" si="9"/>
        <v>1215355.79</v>
      </c>
      <c r="H186" s="32">
        <v>570546.02</v>
      </c>
      <c r="I186" s="32">
        <v>590691.28</v>
      </c>
      <c r="J186" s="22">
        <v>54118.49</v>
      </c>
      <c r="K186" s="15">
        <v>43095</v>
      </c>
      <c r="L186" s="15">
        <v>43214</v>
      </c>
      <c r="M186" s="38">
        <v>302021.15999999997</v>
      </c>
      <c r="N186" s="16">
        <v>0.08</v>
      </c>
      <c r="O186" s="16">
        <f t="shared" si="7"/>
        <v>0.51130119950306352</v>
      </c>
      <c r="P186" s="17" t="s">
        <v>34</v>
      </c>
      <c r="S186" s="86"/>
    </row>
    <row r="187" spans="2:19" s="18" customFormat="1" ht="24" x14ac:dyDescent="0.25">
      <c r="B187" s="8">
        <f t="shared" si="8"/>
        <v>182</v>
      </c>
      <c r="C187" s="9"/>
      <c r="D187" s="26" t="s">
        <v>428</v>
      </c>
      <c r="E187" s="12" t="s">
        <v>429</v>
      </c>
      <c r="F187" s="12" t="s">
        <v>57</v>
      </c>
      <c r="G187" s="13">
        <f t="shared" si="9"/>
        <v>153790.5</v>
      </c>
      <c r="H187" s="21">
        <v>94135.17</v>
      </c>
      <c r="I187" s="21">
        <v>59655.33</v>
      </c>
      <c r="J187" s="33"/>
      <c r="K187" s="15">
        <v>43095</v>
      </c>
      <c r="L187" s="15">
        <v>43150</v>
      </c>
      <c r="M187" s="88">
        <v>0</v>
      </c>
      <c r="N187" s="16">
        <v>0</v>
      </c>
      <c r="O187" s="16">
        <f t="shared" si="7"/>
        <v>0</v>
      </c>
      <c r="P187" s="17" t="s">
        <v>34</v>
      </c>
      <c r="S187" s="86"/>
    </row>
    <row r="188" spans="2:19" s="18" customFormat="1" ht="24" x14ac:dyDescent="0.25">
      <c r="B188" s="8">
        <f t="shared" si="8"/>
        <v>183</v>
      </c>
      <c r="C188" s="9"/>
      <c r="D188" s="26" t="s">
        <v>430</v>
      </c>
      <c r="E188" s="12" t="s">
        <v>431</v>
      </c>
      <c r="F188" s="12" t="s">
        <v>33</v>
      </c>
      <c r="G188" s="13">
        <f t="shared" si="9"/>
        <v>459714.38999999996</v>
      </c>
      <c r="H188" s="21">
        <f>221173.41+22892.33-6163.54</f>
        <v>237902.19999999998</v>
      </c>
      <c r="I188" s="21">
        <f>206214.83+21335.39-5738.03</f>
        <v>221812.18999999997</v>
      </c>
      <c r="J188" s="33"/>
      <c r="K188" s="15">
        <v>41269</v>
      </c>
      <c r="L188" s="15">
        <v>43169</v>
      </c>
      <c r="M188" s="88">
        <v>184422.62</v>
      </c>
      <c r="N188" s="16">
        <v>0.9</v>
      </c>
      <c r="O188" s="16">
        <f t="shared" si="7"/>
        <v>0.83143590981180981</v>
      </c>
      <c r="P188" s="17" t="s">
        <v>34</v>
      </c>
      <c r="S188" s="86"/>
    </row>
    <row r="189" spans="2:19" s="18" customFormat="1" ht="48" x14ac:dyDescent="0.25">
      <c r="B189" s="8">
        <f t="shared" si="8"/>
        <v>184</v>
      </c>
      <c r="C189" s="9"/>
      <c r="D189" s="26" t="s">
        <v>432</v>
      </c>
      <c r="E189" s="12" t="s">
        <v>433</v>
      </c>
      <c r="F189" s="12" t="s">
        <v>160</v>
      </c>
      <c r="G189" s="13">
        <f t="shared" si="9"/>
        <v>285720.92</v>
      </c>
      <c r="H189" s="35">
        <v>207547.68</v>
      </c>
      <c r="I189" s="35">
        <v>78173.240000000005</v>
      </c>
      <c r="J189" s="36"/>
      <c r="K189" s="15">
        <v>43136</v>
      </c>
      <c r="L189" s="15">
        <v>43240</v>
      </c>
      <c r="M189" s="88">
        <v>39086.620000000003</v>
      </c>
      <c r="N189" s="16">
        <v>0.86</v>
      </c>
      <c r="O189" s="16">
        <f t="shared" si="7"/>
        <v>0.5</v>
      </c>
      <c r="P189" s="17" t="s">
        <v>34</v>
      </c>
      <c r="S189" s="86"/>
    </row>
    <row r="190" spans="2:19" s="60" customFormat="1" ht="48" x14ac:dyDescent="0.25">
      <c r="B190" s="51">
        <f t="shared" si="8"/>
        <v>185</v>
      </c>
      <c r="C190" s="52"/>
      <c r="D190" s="61" t="s">
        <v>434</v>
      </c>
      <c r="E190" s="54" t="s">
        <v>435</v>
      </c>
      <c r="F190" s="54" t="s">
        <v>57</v>
      </c>
      <c r="G190" s="65">
        <f t="shared" si="9"/>
        <v>1749882.75</v>
      </c>
      <c r="H190" s="57">
        <v>1749882.75</v>
      </c>
      <c r="I190" s="62">
        <v>0</v>
      </c>
      <c r="J190" s="58"/>
      <c r="K190" s="63">
        <v>43168</v>
      </c>
      <c r="L190" s="63">
        <v>43287</v>
      </c>
      <c r="M190" s="58">
        <v>0</v>
      </c>
      <c r="N190" s="59">
        <v>0</v>
      </c>
      <c r="O190" s="59">
        <v>0</v>
      </c>
      <c r="P190" s="64" t="s">
        <v>21</v>
      </c>
      <c r="R190" s="18"/>
      <c r="S190" s="86"/>
    </row>
    <row r="191" spans="2:19" s="18" customFormat="1" ht="36" x14ac:dyDescent="0.25">
      <c r="B191" s="8">
        <f t="shared" si="8"/>
        <v>186</v>
      </c>
      <c r="C191" s="9"/>
      <c r="D191" s="26" t="s">
        <v>436</v>
      </c>
      <c r="E191" s="12" t="s">
        <v>437</v>
      </c>
      <c r="F191" s="12" t="s">
        <v>33</v>
      </c>
      <c r="G191" s="13">
        <f t="shared" si="9"/>
        <v>228834.09</v>
      </c>
      <c r="H191" s="35">
        <v>166353.62</v>
      </c>
      <c r="I191" s="35">
        <v>62480.47</v>
      </c>
      <c r="J191" s="33"/>
      <c r="K191" s="15">
        <v>43136</v>
      </c>
      <c r="L191" s="15">
        <v>43250</v>
      </c>
      <c r="M191" s="38">
        <v>31240.240000000002</v>
      </c>
      <c r="N191" s="16">
        <v>0</v>
      </c>
      <c r="O191" s="16">
        <f t="shared" si="7"/>
        <v>0.50000008002500618</v>
      </c>
      <c r="P191" s="17" t="s">
        <v>34</v>
      </c>
      <c r="S191" s="86"/>
    </row>
    <row r="192" spans="2:19" s="18" customFormat="1" ht="24" x14ac:dyDescent="0.25">
      <c r="B192" s="8">
        <f t="shared" si="8"/>
        <v>187</v>
      </c>
      <c r="C192" s="9"/>
      <c r="D192" s="10" t="s">
        <v>438</v>
      </c>
      <c r="E192" s="12" t="s">
        <v>439</v>
      </c>
      <c r="F192" s="12" t="s">
        <v>39</v>
      </c>
      <c r="G192" s="37">
        <f t="shared" ref="G192" si="10">SUM(H192:J192)</f>
        <v>2421044.9900000002</v>
      </c>
      <c r="H192" s="35">
        <v>1097370.56</v>
      </c>
      <c r="I192" s="35">
        <v>1097370.56</v>
      </c>
      <c r="J192" s="35">
        <v>226303.87</v>
      </c>
      <c r="K192" s="15">
        <v>42731</v>
      </c>
      <c r="L192" s="15">
        <v>42851</v>
      </c>
      <c r="M192" s="38">
        <v>1097370.56</v>
      </c>
      <c r="N192" s="78">
        <v>1</v>
      </c>
      <c r="O192" s="16">
        <f t="shared" si="7"/>
        <v>1</v>
      </c>
      <c r="P192" s="17" t="s">
        <v>21</v>
      </c>
      <c r="S192" s="86"/>
    </row>
    <row r="193" spans="2:20" s="18" customFormat="1" ht="24" x14ac:dyDescent="0.25">
      <c r="B193" s="8">
        <f t="shared" si="8"/>
        <v>188</v>
      </c>
      <c r="C193" s="9"/>
      <c r="D193" s="10" t="s">
        <v>440</v>
      </c>
      <c r="E193" s="12" t="s">
        <v>441</v>
      </c>
      <c r="F193" s="12" t="s">
        <v>82</v>
      </c>
      <c r="G193" s="37">
        <f>SUM(H193:J193)</f>
        <v>327252.09000000003</v>
      </c>
      <c r="H193" s="35">
        <v>200002.12</v>
      </c>
      <c r="I193" s="35">
        <v>125362.01</v>
      </c>
      <c r="J193" s="35">
        <v>1887.96</v>
      </c>
      <c r="K193" s="15">
        <v>43024</v>
      </c>
      <c r="L193" s="15">
        <v>43069</v>
      </c>
      <c r="M193" s="38">
        <v>125362.01</v>
      </c>
      <c r="N193" s="78">
        <v>1</v>
      </c>
      <c r="O193" s="16">
        <f t="shared" si="7"/>
        <v>1</v>
      </c>
      <c r="P193" s="17" t="s">
        <v>442</v>
      </c>
      <c r="S193" s="86"/>
      <c r="T193" s="80"/>
    </row>
    <row r="194" spans="2:20" s="18" customFormat="1" ht="24" x14ac:dyDescent="0.25">
      <c r="B194" s="8">
        <f t="shared" si="8"/>
        <v>189</v>
      </c>
      <c r="C194" s="9"/>
      <c r="D194" s="10" t="s">
        <v>443</v>
      </c>
      <c r="E194" s="12" t="s">
        <v>444</v>
      </c>
      <c r="F194" s="12" t="s">
        <v>445</v>
      </c>
      <c r="G194" s="37">
        <f t="shared" ref="G194:G215" si="11">SUM(H194:J194)</f>
        <v>1201683.8900000001</v>
      </c>
      <c r="H194" s="35">
        <v>77112.570000000007</v>
      </c>
      <c r="I194" s="35">
        <v>1124571.32</v>
      </c>
      <c r="J194" s="33"/>
      <c r="K194" s="15">
        <v>43102</v>
      </c>
      <c r="L194" s="15">
        <v>43240</v>
      </c>
      <c r="M194" s="88">
        <v>337371.39</v>
      </c>
      <c r="N194" s="78">
        <v>0.58309999999999995</v>
      </c>
      <c r="O194" s="16">
        <f t="shared" si="7"/>
        <v>0.29999999466463362</v>
      </c>
      <c r="P194" s="17" t="s">
        <v>442</v>
      </c>
      <c r="S194" s="86"/>
      <c r="T194" s="81"/>
    </row>
    <row r="195" spans="2:20" s="18" customFormat="1" ht="36" x14ac:dyDescent="0.25">
      <c r="B195" s="8">
        <f t="shared" si="8"/>
        <v>190</v>
      </c>
      <c r="C195" s="9"/>
      <c r="D195" s="10" t="s">
        <v>446</v>
      </c>
      <c r="E195" s="12" t="s">
        <v>447</v>
      </c>
      <c r="F195" s="12" t="s">
        <v>163</v>
      </c>
      <c r="G195" s="37">
        <f t="shared" si="11"/>
        <v>1482625.1300000001</v>
      </c>
      <c r="H195" s="35">
        <v>255316.08</v>
      </c>
      <c r="I195" s="35">
        <v>1227309.05</v>
      </c>
      <c r="J195" s="33"/>
      <c r="K195" s="15">
        <v>43087</v>
      </c>
      <c r="L195" s="15">
        <v>43176</v>
      </c>
      <c r="M195" s="88">
        <v>368192.71</v>
      </c>
      <c r="N195" s="78">
        <v>0.93089999999999995</v>
      </c>
      <c r="O195" s="16">
        <f t="shared" si="7"/>
        <v>0.29999999592604648</v>
      </c>
      <c r="P195" s="17" t="s">
        <v>442</v>
      </c>
      <c r="S195" s="86"/>
      <c r="T195" s="82"/>
    </row>
    <row r="196" spans="2:20" s="18" customFormat="1" ht="36" x14ac:dyDescent="0.25">
      <c r="B196" s="8">
        <f t="shared" si="8"/>
        <v>191</v>
      </c>
      <c r="C196" s="9"/>
      <c r="D196" s="10" t="s">
        <v>448</v>
      </c>
      <c r="E196" s="12" t="s">
        <v>449</v>
      </c>
      <c r="F196" s="12" t="s">
        <v>445</v>
      </c>
      <c r="G196" s="37">
        <f t="shared" si="11"/>
        <v>1919697.12</v>
      </c>
      <c r="H196" s="35">
        <v>670950.14</v>
      </c>
      <c r="I196" s="35">
        <v>1248746.98</v>
      </c>
      <c r="J196" s="33"/>
      <c r="K196" s="15">
        <v>43087</v>
      </c>
      <c r="L196" s="15">
        <v>43176</v>
      </c>
      <c r="M196" s="88">
        <v>374624.1</v>
      </c>
      <c r="N196" s="78">
        <v>0.56110000000000004</v>
      </c>
      <c r="O196" s="16">
        <f t="shared" si="7"/>
        <v>0.30000000480481642</v>
      </c>
      <c r="P196" s="17" t="s">
        <v>442</v>
      </c>
      <c r="S196" s="86"/>
      <c r="T196" s="83"/>
    </row>
    <row r="197" spans="2:20" s="18" customFormat="1" ht="24" x14ac:dyDescent="0.25">
      <c r="B197" s="8">
        <f t="shared" si="8"/>
        <v>192</v>
      </c>
      <c r="C197" s="9"/>
      <c r="D197" s="10" t="s">
        <v>450</v>
      </c>
      <c r="E197" s="12" t="s">
        <v>451</v>
      </c>
      <c r="F197" s="12" t="s">
        <v>70</v>
      </c>
      <c r="G197" s="37">
        <f t="shared" si="11"/>
        <v>1677834.93</v>
      </c>
      <c r="H197" s="35">
        <v>210640.55</v>
      </c>
      <c r="I197" s="35">
        <v>1467194.38</v>
      </c>
      <c r="J197" s="33"/>
      <c r="K197" s="15">
        <v>43087</v>
      </c>
      <c r="L197" s="15">
        <v>43176</v>
      </c>
      <c r="M197" s="88">
        <v>440158.31</v>
      </c>
      <c r="N197" s="78">
        <v>1</v>
      </c>
      <c r="O197" s="16">
        <f t="shared" si="7"/>
        <v>0.29999999727370824</v>
      </c>
      <c r="P197" s="17" t="s">
        <v>442</v>
      </c>
      <c r="S197" s="86"/>
      <c r="T197" s="83"/>
    </row>
    <row r="198" spans="2:20" s="18" customFormat="1" ht="48" x14ac:dyDescent="0.25">
      <c r="B198" s="8">
        <f t="shared" si="8"/>
        <v>193</v>
      </c>
      <c r="C198" s="9"/>
      <c r="D198" s="10" t="s">
        <v>452</v>
      </c>
      <c r="E198" s="12" t="s">
        <v>453</v>
      </c>
      <c r="F198" s="12" t="s">
        <v>317</v>
      </c>
      <c r="G198" s="37">
        <f t="shared" si="11"/>
        <v>340355.62</v>
      </c>
      <c r="H198" s="35">
        <v>190356.89</v>
      </c>
      <c r="I198" s="35">
        <v>149998.73000000001</v>
      </c>
      <c r="J198" s="33"/>
      <c r="K198" s="15">
        <v>43102</v>
      </c>
      <c r="L198" s="15">
        <v>43142</v>
      </c>
      <c r="M198" s="38">
        <v>150000</v>
      </c>
      <c r="N198" s="78">
        <v>1</v>
      </c>
      <c r="O198" s="16">
        <f t="shared" si="7"/>
        <v>1.0000084667383518</v>
      </c>
      <c r="P198" s="17" t="s">
        <v>442</v>
      </c>
      <c r="S198" s="86"/>
      <c r="T198" s="82"/>
    </row>
    <row r="199" spans="2:20" s="18" customFormat="1" ht="36" x14ac:dyDescent="0.25">
      <c r="B199" s="8">
        <f t="shared" si="8"/>
        <v>194</v>
      </c>
      <c r="C199" s="9"/>
      <c r="D199" s="10" t="s">
        <v>454</v>
      </c>
      <c r="E199" s="12" t="s">
        <v>455</v>
      </c>
      <c r="F199" s="12" t="s">
        <v>317</v>
      </c>
      <c r="G199" s="37">
        <f t="shared" si="11"/>
        <v>191976.4</v>
      </c>
      <c r="H199" s="35">
        <v>44838.03</v>
      </c>
      <c r="I199" s="35">
        <v>140000</v>
      </c>
      <c r="J199" s="35">
        <v>7138.37</v>
      </c>
      <c r="K199" s="15">
        <v>43087</v>
      </c>
      <c r="L199" s="15">
        <v>43100</v>
      </c>
      <c r="M199" s="38">
        <v>140000</v>
      </c>
      <c r="N199" s="78">
        <v>1</v>
      </c>
      <c r="O199" s="16">
        <f t="shared" si="7"/>
        <v>1</v>
      </c>
      <c r="P199" s="17" t="s">
        <v>442</v>
      </c>
      <c r="S199" s="86"/>
      <c r="T199" s="84"/>
    </row>
    <row r="200" spans="2:20" s="18" customFormat="1" ht="36" x14ac:dyDescent="0.25">
      <c r="B200" s="8">
        <f t="shared" ref="B200:B214" si="12">+B199+1</f>
        <v>195</v>
      </c>
      <c r="C200" s="9"/>
      <c r="D200" s="10" t="s">
        <v>456</v>
      </c>
      <c r="E200" s="12" t="s">
        <v>457</v>
      </c>
      <c r="F200" s="12" t="s">
        <v>79</v>
      </c>
      <c r="G200" s="37">
        <f t="shared" si="11"/>
        <v>350377.04</v>
      </c>
      <c r="H200" s="35">
        <v>0</v>
      </c>
      <c r="I200" s="35">
        <v>350377.04</v>
      </c>
      <c r="J200" s="33"/>
      <c r="K200" s="15">
        <v>43102</v>
      </c>
      <c r="L200" s="15">
        <v>43142</v>
      </c>
      <c r="M200" s="38">
        <v>316752.57</v>
      </c>
      <c r="N200" s="78">
        <v>1</v>
      </c>
      <c r="O200" s="16">
        <f t="shared" ref="O200:O215" si="13">+M200/I200</f>
        <v>0.90403346634813753</v>
      </c>
      <c r="P200" s="17" t="s">
        <v>442</v>
      </c>
      <c r="S200" s="86"/>
      <c r="T200" s="85"/>
    </row>
    <row r="201" spans="2:20" s="18" customFormat="1" ht="36" x14ac:dyDescent="0.25">
      <c r="B201" s="8">
        <f t="shared" si="12"/>
        <v>196</v>
      </c>
      <c r="C201" s="9"/>
      <c r="D201" s="10" t="s">
        <v>458</v>
      </c>
      <c r="E201" s="12" t="s">
        <v>459</v>
      </c>
      <c r="F201" s="12" t="s">
        <v>460</v>
      </c>
      <c r="G201" s="37">
        <f t="shared" si="11"/>
        <v>3443328.25</v>
      </c>
      <c r="H201" s="35">
        <v>0</v>
      </c>
      <c r="I201" s="35">
        <v>3443328.25</v>
      </c>
      <c r="J201" s="33"/>
      <c r="K201" s="15">
        <v>43087</v>
      </c>
      <c r="L201" s="15">
        <v>42811</v>
      </c>
      <c r="M201" s="88">
        <v>1032998.47</v>
      </c>
      <c r="N201" s="78">
        <v>0.28260000000000002</v>
      </c>
      <c r="O201" s="16">
        <f t="shared" si="13"/>
        <v>0.29999999854791654</v>
      </c>
      <c r="P201" s="17" t="s">
        <v>461</v>
      </c>
      <c r="S201" s="86"/>
      <c r="T201" s="82"/>
    </row>
    <row r="202" spans="2:20" s="18" customFormat="1" ht="36" x14ac:dyDescent="0.25">
      <c r="B202" s="8">
        <f t="shared" si="12"/>
        <v>197</v>
      </c>
      <c r="C202" s="9"/>
      <c r="D202" s="10" t="s">
        <v>462</v>
      </c>
      <c r="E202" s="12" t="s">
        <v>463</v>
      </c>
      <c r="F202" s="12" t="s">
        <v>20</v>
      </c>
      <c r="G202" s="37">
        <f t="shared" si="11"/>
        <v>706673.25</v>
      </c>
      <c r="H202" s="35">
        <v>431848.02307499998</v>
      </c>
      <c r="I202" s="35">
        <v>274825.22692500002</v>
      </c>
      <c r="J202" s="33"/>
      <c r="K202" s="15">
        <v>43087</v>
      </c>
      <c r="L202" s="15">
        <v>43156</v>
      </c>
      <c r="M202" s="88">
        <v>82447.570000000007</v>
      </c>
      <c r="N202" s="78">
        <v>0.45540000000000003</v>
      </c>
      <c r="O202" s="16">
        <f t="shared" si="13"/>
        <v>0.3000000069953549</v>
      </c>
      <c r="P202" s="17" t="s">
        <v>442</v>
      </c>
      <c r="S202" s="86"/>
      <c r="T202" s="84"/>
    </row>
    <row r="203" spans="2:20" s="18" customFormat="1" ht="48" x14ac:dyDescent="0.25">
      <c r="B203" s="8">
        <f t="shared" si="12"/>
        <v>198</v>
      </c>
      <c r="C203" s="9"/>
      <c r="D203" s="10" t="s">
        <v>464</v>
      </c>
      <c r="E203" s="12" t="s">
        <v>465</v>
      </c>
      <c r="F203" s="12" t="s">
        <v>466</v>
      </c>
      <c r="G203" s="37">
        <v>473091.39</v>
      </c>
      <c r="H203" s="35">
        <v>0</v>
      </c>
      <c r="I203" s="37">
        <v>473091.39</v>
      </c>
      <c r="J203" s="33"/>
      <c r="K203" s="15">
        <v>43087</v>
      </c>
      <c r="L203" s="15">
        <v>43121</v>
      </c>
      <c r="M203" s="88">
        <f>133169.05+339922.34</f>
        <v>473091.39</v>
      </c>
      <c r="N203" s="78">
        <v>1</v>
      </c>
      <c r="O203" s="16">
        <f t="shared" si="13"/>
        <v>1</v>
      </c>
      <c r="P203" s="17" t="s">
        <v>442</v>
      </c>
      <c r="S203" s="86"/>
      <c r="T203" s="79"/>
    </row>
    <row r="204" spans="2:20" s="18" customFormat="1" ht="48" x14ac:dyDescent="0.25">
      <c r="B204" s="8">
        <f t="shared" si="12"/>
        <v>199</v>
      </c>
      <c r="C204" s="9"/>
      <c r="D204" s="10" t="s">
        <v>467</v>
      </c>
      <c r="E204" s="12" t="s">
        <v>468</v>
      </c>
      <c r="F204" s="12" t="s">
        <v>20</v>
      </c>
      <c r="G204" s="37">
        <f t="shared" si="11"/>
        <v>612695.31999999995</v>
      </c>
      <c r="H204" s="35">
        <v>72979.360764791374</v>
      </c>
      <c r="I204" s="35">
        <v>539715.95923520857</v>
      </c>
      <c r="J204" s="33"/>
      <c r="K204" s="15">
        <v>43095</v>
      </c>
      <c r="L204" s="15">
        <v>42792</v>
      </c>
      <c r="M204" s="38">
        <v>326111.88</v>
      </c>
      <c r="N204" s="78">
        <v>1</v>
      </c>
      <c r="O204" s="16">
        <f t="shared" si="13"/>
        <v>0.60422871404823553</v>
      </c>
      <c r="P204" s="17" t="s">
        <v>442</v>
      </c>
      <c r="S204" s="86"/>
      <c r="T204" s="79"/>
    </row>
    <row r="205" spans="2:20" s="18" customFormat="1" ht="36" x14ac:dyDescent="0.25">
      <c r="B205" s="8">
        <f t="shared" si="12"/>
        <v>200</v>
      </c>
      <c r="C205" s="9"/>
      <c r="D205" s="10" t="s">
        <v>469</v>
      </c>
      <c r="E205" s="12" t="s">
        <v>470</v>
      </c>
      <c r="F205" s="12" t="s">
        <v>39</v>
      </c>
      <c r="G205" s="37">
        <f t="shared" si="11"/>
        <v>458356.17</v>
      </c>
      <c r="H205" s="35">
        <v>335802.31</v>
      </c>
      <c r="I205" s="35">
        <v>122553.86</v>
      </c>
      <c r="J205" s="33"/>
      <c r="K205" s="15">
        <v>43087</v>
      </c>
      <c r="L205" s="15">
        <v>43146</v>
      </c>
      <c r="M205" s="88">
        <v>36766.160000000003</v>
      </c>
      <c r="N205" s="78">
        <v>0.21129999999999999</v>
      </c>
      <c r="O205" s="16">
        <f t="shared" si="13"/>
        <v>0.30000001631935547</v>
      </c>
      <c r="P205" s="17" t="s">
        <v>442</v>
      </c>
      <c r="S205" s="86"/>
    </row>
    <row r="206" spans="2:20" s="18" customFormat="1" ht="60" x14ac:dyDescent="0.25">
      <c r="B206" s="8">
        <f t="shared" si="12"/>
        <v>201</v>
      </c>
      <c r="C206" s="9"/>
      <c r="D206" s="10" t="s">
        <v>471</v>
      </c>
      <c r="E206" s="12" t="s">
        <v>472</v>
      </c>
      <c r="F206" s="12" t="s">
        <v>243</v>
      </c>
      <c r="G206" s="37">
        <f t="shared" si="11"/>
        <v>4444876.13</v>
      </c>
      <c r="H206" s="35">
        <v>2780997.11</v>
      </c>
      <c r="I206" s="35">
        <v>1663879.02</v>
      </c>
      <c r="J206" s="33"/>
      <c r="K206" s="15">
        <v>43095</v>
      </c>
      <c r="L206" s="15">
        <v>43194</v>
      </c>
      <c r="M206" s="88">
        <v>753049.07</v>
      </c>
      <c r="N206" s="78">
        <v>1</v>
      </c>
      <c r="O206" s="16">
        <f t="shared" si="13"/>
        <v>0.45258643263619008</v>
      </c>
      <c r="P206" s="17" t="s">
        <v>461</v>
      </c>
      <c r="S206" s="86"/>
    </row>
    <row r="207" spans="2:20" s="18" customFormat="1" ht="36" x14ac:dyDescent="0.25">
      <c r="B207" s="8">
        <f t="shared" si="12"/>
        <v>202</v>
      </c>
      <c r="C207" s="9"/>
      <c r="D207" s="10" t="s">
        <v>473</v>
      </c>
      <c r="E207" s="12" t="s">
        <v>474</v>
      </c>
      <c r="F207" s="12" t="s">
        <v>352</v>
      </c>
      <c r="G207" s="37">
        <f t="shared" si="11"/>
        <v>3126519.42</v>
      </c>
      <c r="H207" s="35">
        <v>0</v>
      </c>
      <c r="I207" s="35">
        <v>3126519.42</v>
      </c>
      <c r="J207" s="33"/>
      <c r="K207" s="15">
        <v>43102</v>
      </c>
      <c r="L207" s="15">
        <v>43191</v>
      </c>
      <c r="M207" s="88">
        <v>937955.82</v>
      </c>
      <c r="N207" s="78">
        <v>0.47360000000000002</v>
      </c>
      <c r="O207" s="16">
        <f t="shared" si="13"/>
        <v>0.29999999808093308</v>
      </c>
      <c r="P207" s="17" t="s">
        <v>461</v>
      </c>
      <c r="S207" s="86"/>
    </row>
    <row r="208" spans="2:20" s="18" customFormat="1" ht="24" x14ac:dyDescent="0.25">
      <c r="B208" s="8">
        <f t="shared" si="12"/>
        <v>203</v>
      </c>
      <c r="C208" s="9"/>
      <c r="D208" s="10" t="s">
        <v>475</v>
      </c>
      <c r="E208" s="12" t="s">
        <v>476</v>
      </c>
      <c r="F208" s="12"/>
      <c r="G208" s="37">
        <f t="shared" si="11"/>
        <v>4252354.22</v>
      </c>
      <c r="H208" s="35">
        <v>3556177.0830393485</v>
      </c>
      <c r="I208" s="35">
        <v>696177.13696065138</v>
      </c>
      <c r="J208" s="33"/>
      <c r="K208" s="15">
        <v>43098</v>
      </c>
      <c r="L208" s="15">
        <v>43188</v>
      </c>
      <c r="M208" s="88">
        <v>208850.22</v>
      </c>
      <c r="N208" s="78">
        <v>0.45850000000000002</v>
      </c>
      <c r="O208" s="16">
        <f t="shared" si="13"/>
        <v>0.29999580410208793</v>
      </c>
      <c r="P208" s="17" t="s">
        <v>461</v>
      </c>
      <c r="S208" s="86"/>
    </row>
    <row r="209" spans="2:19" s="18" customFormat="1" ht="48" x14ac:dyDescent="0.25">
      <c r="B209" s="8">
        <f t="shared" si="12"/>
        <v>204</v>
      </c>
      <c r="C209" s="9"/>
      <c r="D209" s="10" t="s">
        <v>477</v>
      </c>
      <c r="E209" s="12" t="s">
        <v>478</v>
      </c>
      <c r="F209" s="12" t="s">
        <v>479</v>
      </c>
      <c r="G209" s="37">
        <f t="shared" si="11"/>
        <v>3059526.2199999997</v>
      </c>
      <c r="H209" s="35">
        <v>1934844.38</v>
      </c>
      <c r="I209" s="35">
        <v>1124681.8400000001</v>
      </c>
      <c r="J209" s="33"/>
      <c r="K209" s="15">
        <v>43099</v>
      </c>
      <c r="L209" s="15">
        <v>43187</v>
      </c>
      <c r="M209" s="88">
        <v>337404.55</v>
      </c>
      <c r="N209" s="78">
        <v>0.90920000000000001</v>
      </c>
      <c r="O209" s="16">
        <f t="shared" si="13"/>
        <v>0.2999999982217193</v>
      </c>
      <c r="P209" s="17" t="s">
        <v>461</v>
      </c>
      <c r="S209" s="86"/>
    </row>
    <row r="210" spans="2:19" s="18" customFormat="1" ht="60" x14ac:dyDescent="0.25">
      <c r="B210" s="8">
        <f t="shared" si="12"/>
        <v>205</v>
      </c>
      <c r="C210" s="9"/>
      <c r="D210" s="10" t="s">
        <v>480</v>
      </c>
      <c r="E210" s="12" t="s">
        <v>481</v>
      </c>
      <c r="F210" s="12" t="s">
        <v>482</v>
      </c>
      <c r="G210" s="37">
        <f t="shared" si="11"/>
        <v>2923704</v>
      </c>
      <c r="H210" s="35">
        <v>1524126.8951999999</v>
      </c>
      <c r="I210" s="35">
        <v>1399577.1048000001</v>
      </c>
      <c r="J210" s="33"/>
      <c r="K210" s="15">
        <v>43099</v>
      </c>
      <c r="L210" s="15">
        <v>43158</v>
      </c>
      <c r="M210" s="38">
        <v>929832.04</v>
      </c>
      <c r="N210" s="78">
        <v>0.54549999999999998</v>
      </c>
      <c r="O210" s="16">
        <f t="shared" si="13"/>
        <v>0.66436642669492174</v>
      </c>
      <c r="P210" s="17" t="s">
        <v>461</v>
      </c>
      <c r="S210" s="86"/>
    </row>
    <row r="211" spans="2:19" s="18" customFormat="1" ht="48" x14ac:dyDescent="0.25">
      <c r="B211" s="8">
        <f t="shared" si="12"/>
        <v>206</v>
      </c>
      <c r="C211" s="9"/>
      <c r="D211" s="10" t="s">
        <v>483</v>
      </c>
      <c r="E211" s="12" t="s">
        <v>484</v>
      </c>
      <c r="F211" s="12" t="s">
        <v>482</v>
      </c>
      <c r="G211" s="37">
        <f t="shared" si="11"/>
        <v>3973568.57</v>
      </c>
      <c r="H211" s="35">
        <v>2936947.0672919652</v>
      </c>
      <c r="I211" s="35">
        <v>1036621.5027080345</v>
      </c>
      <c r="J211" s="33"/>
      <c r="K211" s="15">
        <v>43099</v>
      </c>
      <c r="L211" s="15">
        <v>43187</v>
      </c>
      <c r="M211" s="38">
        <v>797656.22</v>
      </c>
      <c r="N211" s="78">
        <v>0.6956</v>
      </c>
      <c r="O211" s="16">
        <f t="shared" si="13"/>
        <v>0.76947682246242255</v>
      </c>
      <c r="P211" s="17" t="s">
        <v>461</v>
      </c>
      <c r="S211" s="86"/>
    </row>
    <row r="212" spans="2:19" s="18" customFormat="1" ht="24" x14ac:dyDescent="0.25">
      <c r="B212" s="8">
        <f t="shared" si="12"/>
        <v>207</v>
      </c>
      <c r="C212" s="9"/>
      <c r="D212" s="10" t="s">
        <v>485</v>
      </c>
      <c r="E212" s="12" t="s">
        <v>486</v>
      </c>
      <c r="F212" s="12" t="s">
        <v>445</v>
      </c>
      <c r="G212" s="37">
        <f t="shared" si="11"/>
        <v>3749038.06</v>
      </c>
      <c r="H212" s="35">
        <v>3127072.6458459999</v>
      </c>
      <c r="I212" s="35">
        <v>621965.414154</v>
      </c>
      <c r="J212" s="33"/>
      <c r="K212" s="15">
        <v>43099</v>
      </c>
      <c r="L212" s="15">
        <v>43187</v>
      </c>
      <c r="M212" s="38">
        <v>323960.34000000003</v>
      </c>
      <c r="N212" s="78">
        <v>0.46879999999999999</v>
      </c>
      <c r="O212" s="16">
        <f t="shared" si="13"/>
        <v>0.520865521824316</v>
      </c>
      <c r="P212" s="17" t="s">
        <v>461</v>
      </c>
      <c r="S212" s="86"/>
    </row>
    <row r="213" spans="2:19" s="18" customFormat="1" ht="48" x14ac:dyDescent="0.25">
      <c r="B213" s="8">
        <f t="shared" si="12"/>
        <v>208</v>
      </c>
      <c r="C213" s="9"/>
      <c r="D213" s="10" t="s">
        <v>487</v>
      </c>
      <c r="E213" s="12" t="s">
        <v>488</v>
      </c>
      <c r="F213" s="12" t="s">
        <v>482</v>
      </c>
      <c r="G213" s="37">
        <f t="shared" si="11"/>
        <v>7744717.3300000001</v>
      </c>
      <c r="H213" s="35">
        <v>3110453.4466352649</v>
      </c>
      <c r="I213" s="35">
        <v>4634263.8833647352</v>
      </c>
      <c r="J213" s="33"/>
      <c r="K213" s="15">
        <v>43102</v>
      </c>
      <c r="L213" s="15">
        <v>43251</v>
      </c>
      <c r="M213" s="38">
        <v>3430446.25</v>
      </c>
      <c r="N213" s="78">
        <v>0.37580000000000002</v>
      </c>
      <c r="O213" s="16">
        <f t="shared" si="13"/>
        <v>0.74023541523261382</v>
      </c>
      <c r="P213" s="17" t="s">
        <v>489</v>
      </c>
      <c r="S213" s="86"/>
    </row>
    <row r="214" spans="2:19" s="18" customFormat="1" ht="24" x14ac:dyDescent="0.25">
      <c r="B214" s="8">
        <f t="shared" si="12"/>
        <v>209</v>
      </c>
      <c r="C214" s="9"/>
      <c r="D214" s="10" t="s">
        <v>490</v>
      </c>
      <c r="E214" s="12" t="s">
        <v>491</v>
      </c>
      <c r="F214" s="12" t="s">
        <v>460</v>
      </c>
      <c r="G214" s="37">
        <f t="shared" si="11"/>
        <v>10083776.120000001</v>
      </c>
      <c r="H214" s="35">
        <v>9367828.0154800005</v>
      </c>
      <c r="I214" s="35">
        <v>715948.10451999994</v>
      </c>
      <c r="J214" s="33"/>
      <c r="K214" s="15">
        <v>43102</v>
      </c>
      <c r="L214" s="15">
        <v>43451</v>
      </c>
      <c r="M214" s="38">
        <v>444107.57</v>
      </c>
      <c r="N214" s="78">
        <v>0.22750000000000001</v>
      </c>
      <c r="O214" s="16">
        <f t="shared" si="13"/>
        <v>0.62030692894668304</v>
      </c>
      <c r="P214" s="17" t="s">
        <v>489</v>
      </c>
      <c r="S214" s="86"/>
    </row>
    <row r="215" spans="2:19" s="18" customFormat="1" ht="24" x14ac:dyDescent="0.25">
      <c r="B215" s="8">
        <v>210</v>
      </c>
      <c r="C215" s="9"/>
      <c r="D215" s="10" t="s">
        <v>504</v>
      </c>
      <c r="E215" s="12" t="s">
        <v>505</v>
      </c>
      <c r="F215" s="12" t="s">
        <v>400</v>
      </c>
      <c r="G215" s="37">
        <f t="shared" si="11"/>
        <v>7783219.1299999999</v>
      </c>
      <c r="H215" s="35">
        <v>4806671.7052965844</v>
      </c>
      <c r="I215" s="35">
        <v>2976547.4247034155</v>
      </c>
      <c r="J215" s="33"/>
      <c r="K215" s="15">
        <v>43262</v>
      </c>
      <c r="L215" s="15">
        <v>43401</v>
      </c>
      <c r="M215" s="38">
        <v>1488273.71</v>
      </c>
      <c r="N215" s="78">
        <v>1</v>
      </c>
      <c r="O215" s="16">
        <f t="shared" si="13"/>
        <v>0.49999999920992094</v>
      </c>
      <c r="P215" s="17" t="s">
        <v>489</v>
      </c>
      <c r="S215" s="86"/>
    </row>
    <row r="216" spans="2:19" s="60" customFormat="1" ht="120" x14ac:dyDescent="0.25">
      <c r="B216" s="51">
        <v>211</v>
      </c>
      <c r="C216" s="52"/>
      <c r="D216" s="53" t="s">
        <v>492</v>
      </c>
      <c r="E216" s="54" t="s">
        <v>493</v>
      </c>
      <c r="F216" s="54" t="s">
        <v>20</v>
      </c>
      <c r="G216" s="55">
        <f>SUM(H216:J216)</f>
        <v>0</v>
      </c>
      <c r="H216" s="56"/>
      <c r="I216" s="57"/>
      <c r="J216" s="58"/>
      <c r="K216" s="58"/>
      <c r="L216" s="58"/>
      <c r="M216" s="58"/>
      <c r="N216" s="78">
        <v>0</v>
      </c>
      <c r="O216" s="78">
        <v>0</v>
      </c>
      <c r="P216" s="58"/>
      <c r="R216" s="18"/>
      <c r="S216" s="86"/>
    </row>
    <row r="217" spans="2:19" s="60" customFormat="1" ht="36" x14ac:dyDescent="0.25">
      <c r="B217" s="51">
        <v>212</v>
      </c>
      <c r="C217" s="75"/>
      <c r="D217" s="61" t="s">
        <v>494</v>
      </c>
      <c r="E217" s="54" t="s">
        <v>495</v>
      </c>
      <c r="F217" s="54" t="s">
        <v>20</v>
      </c>
      <c r="G217" s="55">
        <f>SUM(H217:J217)</f>
        <v>0</v>
      </c>
      <c r="H217" s="62"/>
      <c r="I217" s="62"/>
      <c r="J217" s="58"/>
      <c r="K217" s="63"/>
      <c r="L217" s="63"/>
      <c r="M217" s="38"/>
      <c r="N217" s="59">
        <v>0</v>
      </c>
      <c r="O217" s="59">
        <v>0</v>
      </c>
      <c r="P217" s="64"/>
      <c r="R217" s="18"/>
      <c r="S217" s="86"/>
    </row>
    <row r="218" spans="2:19" s="18" customFormat="1" x14ac:dyDescent="0.25">
      <c r="B218" s="69"/>
      <c r="C218" s="70"/>
      <c r="D218" s="71" t="s">
        <v>496</v>
      </c>
      <c r="E218" s="72"/>
      <c r="F218" s="72"/>
      <c r="G218" s="76">
        <f>SUM(G6:G217)</f>
        <v>613340096.18199992</v>
      </c>
      <c r="H218" s="76">
        <f>SUM(H6:H217)</f>
        <v>283952979.482629</v>
      </c>
      <c r="I218" s="76">
        <f>SUM(I6:I217)</f>
        <v>326342476.049371</v>
      </c>
      <c r="J218" s="76">
        <f>SUM(J6:J217)</f>
        <v>3044640.6500000008</v>
      </c>
      <c r="K218" s="76"/>
      <c r="L218" s="76"/>
      <c r="M218" s="76">
        <f>SUM(M6:M217)</f>
        <v>242738764.65199989</v>
      </c>
      <c r="N218" s="77"/>
      <c r="O218" s="77"/>
      <c r="P218" s="77"/>
    </row>
    <row r="219" spans="2:19" s="18" customFormat="1" ht="38.25" customHeight="1" x14ac:dyDescent="0.25">
      <c r="B219" s="69"/>
      <c r="C219" s="70"/>
      <c r="D219" s="73"/>
      <c r="E219" s="74"/>
      <c r="F219" s="74"/>
      <c r="G219" s="39"/>
      <c r="H219" s="39"/>
      <c r="L219" s="40"/>
      <c r="M219" s="41"/>
    </row>
    <row r="220" spans="2:19" x14ac:dyDescent="0.25">
      <c r="M220" s="43"/>
      <c r="R220" s="18"/>
      <c r="S220" s="18"/>
    </row>
    <row r="221" spans="2:19" x14ac:dyDescent="0.25">
      <c r="R221" s="18"/>
      <c r="S221" s="18"/>
    </row>
    <row r="222" spans="2:19" ht="8.25" customHeight="1" thickBot="1" x14ac:dyDescent="0.3">
      <c r="E222" s="44"/>
      <c r="F222" s="44"/>
      <c r="G222" s="45"/>
      <c r="H222" s="44"/>
      <c r="I222" s="44"/>
      <c r="J222" s="44"/>
      <c r="K222" s="44"/>
      <c r="L222" s="46"/>
      <c r="M222" s="47"/>
      <c r="N222" s="44"/>
      <c r="O222" s="44"/>
      <c r="P222" s="44"/>
      <c r="R222" s="18"/>
      <c r="S222" s="18"/>
    </row>
    <row r="223" spans="2:19" ht="27" customHeight="1" x14ac:dyDescent="0.25">
      <c r="E223" s="48" t="s">
        <v>497</v>
      </c>
      <c r="H223" s="48" t="s">
        <v>498</v>
      </c>
      <c r="K223" s="48"/>
      <c r="M223" s="49"/>
      <c r="N223" s="48" t="s">
        <v>499</v>
      </c>
      <c r="R223" s="18"/>
      <c r="S223" s="18"/>
    </row>
    <row r="224" spans="2:19" ht="15.75" x14ac:dyDescent="0.25">
      <c r="E224" s="48" t="s">
        <v>500</v>
      </c>
      <c r="H224" s="48" t="s">
        <v>501</v>
      </c>
      <c r="K224" s="48"/>
      <c r="M224" s="49"/>
      <c r="N224" s="48" t="s">
        <v>502</v>
      </c>
      <c r="R224" s="18"/>
      <c r="S224" s="18"/>
    </row>
    <row r="225" spans="13:19" x14ac:dyDescent="0.25">
      <c r="R225" s="18"/>
      <c r="S225" s="18"/>
    </row>
    <row r="226" spans="13:19" x14ac:dyDescent="0.25">
      <c r="R226" s="18"/>
      <c r="S226" s="18"/>
    </row>
    <row r="227" spans="13:19" x14ac:dyDescent="0.25">
      <c r="R227" s="18"/>
      <c r="S227" s="18"/>
    </row>
    <row r="228" spans="13:19" x14ac:dyDescent="0.25">
      <c r="R228" s="18"/>
      <c r="S228" s="18"/>
    </row>
    <row r="229" spans="13:19" x14ac:dyDescent="0.25">
      <c r="M229" s="38"/>
      <c r="R229" s="18"/>
      <c r="S229" s="18"/>
    </row>
    <row r="230" spans="13:19" x14ac:dyDescent="0.25">
      <c r="R230" s="18"/>
      <c r="S230" s="18"/>
    </row>
    <row r="231" spans="13:19" x14ac:dyDescent="0.25">
      <c r="R231" s="18"/>
      <c r="S231" s="18"/>
    </row>
    <row r="232" spans="13:19" x14ac:dyDescent="0.25">
      <c r="M232" s="50"/>
    </row>
  </sheetData>
  <sortState ref="R55:S107">
    <sortCondition ref="R55:R107"/>
  </sortState>
  <mergeCells count="13">
    <mergeCell ref="M4:M5"/>
    <mergeCell ref="N4:O4"/>
    <mergeCell ref="P4:P5"/>
    <mergeCell ref="D1:P1"/>
    <mergeCell ref="D2:P2"/>
    <mergeCell ref="D3:P3"/>
    <mergeCell ref="K4:K5"/>
    <mergeCell ref="L4:L5"/>
    <mergeCell ref="B4:B5"/>
    <mergeCell ref="D4:D5"/>
    <mergeCell ref="E4:E5"/>
    <mergeCell ref="F4:F5"/>
    <mergeCell ref="G4:J4"/>
  </mergeCells>
  <pageMargins left="0" right="0.19685039370078741" top="0" bottom="0.39370078740157483" header="0.31496062992125984" footer="0.31496062992125984"/>
  <pageSetup scale="55" fitToHeight="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entregable</vt:lpstr>
      <vt:lpstr>Hoja1</vt:lpstr>
      <vt:lpstr>entregable!Títulos_a_imprimir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Estefania</cp:lastModifiedBy>
  <cp:lastPrinted>2018-07-10T17:34:51Z</cp:lastPrinted>
  <dcterms:created xsi:type="dcterms:W3CDTF">2018-04-16T03:42:13Z</dcterms:created>
  <dcterms:modified xsi:type="dcterms:W3CDTF">2018-09-25T20:34:39Z</dcterms:modified>
</cp:coreProperties>
</file>