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"/>
    </mc:Choice>
  </mc:AlternateContent>
  <bookViews>
    <workbookView xWindow="0" yWindow="0" windowWidth="24000" windowHeight="11025"/>
  </bookViews>
  <sheets>
    <sheet name="entregable" sheetId="13" r:id="rId1"/>
  </sheets>
  <definedNames>
    <definedName name="_xlnm._FilterDatabase" localSheetId="0" hidden="1">entregable!$M$1:$M$231</definedName>
    <definedName name="_xlnm.Print_Area" localSheetId="0">entregable!$D$9:$O$224</definedName>
    <definedName name="_xlnm.Print_Titles" localSheetId="0">entregable!$1:$10</definedName>
  </definedNames>
  <calcPr calcId="152511"/>
</workbook>
</file>

<file path=xl/calcChain.xml><?xml version="1.0" encoding="utf-8"?>
<calcChain xmlns="http://schemas.openxmlformats.org/spreadsheetml/2006/main">
  <c r="M224" i="13" l="1"/>
  <c r="O220" i="13"/>
  <c r="G220" i="13"/>
  <c r="O219" i="13"/>
  <c r="G219" i="13"/>
  <c r="O218" i="13"/>
  <c r="G218" i="13"/>
  <c r="O217" i="13"/>
  <c r="G217" i="13"/>
  <c r="O216" i="13"/>
  <c r="G216" i="13"/>
  <c r="O215" i="13"/>
  <c r="G215" i="13"/>
  <c r="O214" i="13"/>
  <c r="G214" i="13"/>
  <c r="O213" i="13"/>
  <c r="G213" i="13"/>
  <c r="O212" i="13"/>
  <c r="G212" i="13"/>
  <c r="O211" i="13"/>
  <c r="G211" i="13"/>
  <c r="O210" i="13"/>
  <c r="G210" i="13"/>
  <c r="O209" i="13"/>
  <c r="G209" i="13"/>
  <c r="O208" i="13"/>
  <c r="G208" i="13"/>
  <c r="O207" i="13"/>
  <c r="G207" i="13"/>
  <c r="O206" i="13"/>
  <c r="G206" i="13"/>
  <c r="O205" i="13"/>
  <c r="G205" i="13"/>
  <c r="G204" i="13"/>
  <c r="O203" i="13"/>
  <c r="G203" i="13"/>
  <c r="O202" i="13"/>
  <c r="G202" i="13"/>
  <c r="O201" i="13"/>
  <c r="G201" i="13"/>
  <c r="O200" i="13"/>
  <c r="G200" i="13"/>
  <c r="O199" i="13"/>
  <c r="G199" i="13"/>
  <c r="G221" i="13"/>
  <c r="O221" i="13"/>
  <c r="I43" i="13" l="1"/>
  <c r="H43" i="13"/>
  <c r="I44" i="13" l="1"/>
  <c r="H44" i="13"/>
  <c r="O197" i="13" l="1"/>
  <c r="O195" i="13"/>
  <c r="O193" i="13"/>
  <c r="O192" i="13"/>
  <c r="O188" i="13"/>
  <c r="O184" i="13"/>
  <c r="O182" i="13"/>
  <c r="O180" i="13"/>
  <c r="O178" i="13"/>
  <c r="O170" i="13"/>
  <c r="O169" i="13"/>
  <c r="O162" i="13"/>
  <c r="O159" i="13"/>
  <c r="O158" i="13"/>
  <c r="O157" i="13"/>
  <c r="O156" i="13"/>
  <c r="O154" i="13"/>
  <c r="O142" i="13"/>
  <c r="O130" i="13"/>
  <c r="O129" i="13"/>
  <c r="O125" i="13"/>
  <c r="O117" i="13"/>
  <c r="O107" i="13"/>
  <c r="O95" i="13"/>
  <c r="O93" i="13"/>
  <c r="O92" i="13"/>
  <c r="O91" i="13"/>
  <c r="O88" i="13"/>
  <c r="O85" i="13"/>
  <c r="O80" i="13"/>
  <c r="O77" i="13"/>
  <c r="O75" i="13"/>
  <c r="O73" i="13"/>
  <c r="O72" i="13"/>
  <c r="O70" i="13"/>
  <c r="O69" i="13"/>
  <c r="O67" i="13"/>
  <c r="O63" i="13"/>
  <c r="O59" i="13"/>
  <c r="O58" i="13"/>
  <c r="O57" i="13"/>
  <c r="O56" i="13"/>
  <c r="O54" i="13"/>
  <c r="O53" i="13"/>
  <c r="O52" i="13"/>
  <c r="O51" i="13"/>
  <c r="O47" i="13"/>
  <c r="O46" i="13"/>
  <c r="O45" i="13"/>
  <c r="O42" i="13"/>
  <c r="O41" i="13"/>
  <c r="O40" i="13"/>
  <c r="O39" i="13"/>
  <c r="O37" i="13"/>
  <c r="O36" i="13"/>
  <c r="O32" i="13"/>
  <c r="O30" i="13"/>
  <c r="O29" i="13"/>
  <c r="O27" i="13"/>
  <c r="O26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I131" i="13" l="1"/>
  <c r="O131" i="13" s="1"/>
  <c r="H131" i="13"/>
  <c r="I140" i="13" l="1"/>
  <c r="O140" i="13" s="1"/>
  <c r="H140" i="13"/>
  <c r="I164" i="13"/>
  <c r="O164" i="13" s="1"/>
  <c r="H164" i="13"/>
  <c r="I97" i="13"/>
  <c r="O97" i="13" s="1"/>
  <c r="H97" i="13"/>
  <c r="I167" i="13" l="1"/>
  <c r="O167" i="13" s="1"/>
  <c r="H167" i="13"/>
  <c r="I191" i="13" l="1"/>
  <c r="O191" i="13" s="1"/>
  <c r="I190" i="13"/>
  <c r="O190" i="13" s="1"/>
  <c r="I189" i="13"/>
  <c r="O189" i="13" s="1"/>
  <c r="I137" i="13"/>
  <c r="O137" i="13" s="1"/>
  <c r="H137" i="13"/>
  <c r="I126" i="13"/>
  <c r="O126" i="13" s="1"/>
  <c r="H126" i="13"/>
  <c r="I60" i="13"/>
  <c r="O60" i="13" s="1"/>
  <c r="H60" i="13"/>
  <c r="I174" i="13" l="1"/>
  <c r="O174" i="13" s="1"/>
  <c r="H174" i="13"/>
  <c r="I173" i="13"/>
  <c r="O173" i="13" s="1"/>
  <c r="H173" i="13"/>
  <c r="I172" i="13"/>
  <c r="O172" i="13" s="1"/>
  <c r="H172" i="13"/>
  <c r="I194" i="13"/>
  <c r="O194" i="13" s="1"/>
  <c r="H194" i="13"/>
  <c r="I187" i="13"/>
  <c r="O187" i="13" s="1"/>
  <c r="H187" i="13"/>
  <c r="I186" i="13"/>
  <c r="O186" i="13" s="1"/>
  <c r="H186" i="13"/>
  <c r="I185" i="13"/>
  <c r="O185" i="13" s="1"/>
  <c r="I183" i="13"/>
  <c r="O183" i="13" s="1"/>
  <c r="H183" i="13"/>
  <c r="I181" i="13"/>
  <c r="O181" i="13" s="1"/>
  <c r="H181" i="13"/>
  <c r="I179" i="13"/>
  <c r="O179" i="13" s="1"/>
  <c r="H179" i="13"/>
  <c r="I177" i="13"/>
  <c r="O177" i="13" s="1"/>
  <c r="H177" i="13"/>
  <c r="I176" i="13"/>
  <c r="O176" i="13" s="1"/>
  <c r="H176" i="13"/>
  <c r="I175" i="13"/>
  <c r="O175" i="13" s="1"/>
  <c r="H175" i="13"/>
  <c r="H146" i="13"/>
  <c r="I147" i="13"/>
  <c r="O147" i="13" s="1"/>
  <c r="H147" i="13"/>
  <c r="I148" i="13"/>
  <c r="O148" i="13" s="1"/>
  <c r="H148" i="13"/>
  <c r="I149" i="13"/>
  <c r="O149" i="13" s="1"/>
  <c r="H149" i="13"/>
  <c r="I145" i="13"/>
  <c r="O145" i="13" s="1"/>
  <c r="H145" i="13"/>
  <c r="I141" i="13"/>
  <c r="O141" i="13" s="1"/>
  <c r="H141" i="13"/>
  <c r="I139" i="13"/>
  <c r="O139" i="13" s="1"/>
  <c r="H139" i="13"/>
  <c r="I171" i="13"/>
  <c r="O171" i="13" s="1"/>
  <c r="H171" i="13"/>
  <c r="I166" i="13"/>
  <c r="O166" i="13" s="1"/>
  <c r="H166" i="13"/>
  <c r="I168" i="13"/>
  <c r="O168" i="13" s="1"/>
  <c r="H168" i="13"/>
  <c r="I120" i="13"/>
  <c r="O120" i="13" s="1"/>
  <c r="H120" i="13"/>
  <c r="I165" i="13"/>
  <c r="O165" i="13" s="1"/>
  <c r="H165" i="13"/>
  <c r="I127" i="13" l="1"/>
  <c r="O127" i="13" s="1"/>
  <c r="H127" i="13"/>
  <c r="I124" i="13"/>
  <c r="O124" i="13" s="1"/>
  <c r="H124" i="13"/>
  <c r="I123" i="13"/>
  <c r="O123" i="13" s="1"/>
  <c r="H123" i="13"/>
  <c r="I122" i="13"/>
  <c r="O122" i="13" s="1"/>
  <c r="H122" i="13"/>
  <c r="I121" i="13"/>
  <c r="O121" i="13" s="1"/>
  <c r="H121" i="13"/>
  <c r="H108" i="13"/>
  <c r="I108" i="13"/>
  <c r="O108" i="13" s="1"/>
  <c r="H138" i="13"/>
  <c r="I138" i="13"/>
  <c r="O138" i="13" s="1"/>
  <c r="I136" i="13"/>
  <c r="O136" i="13" s="1"/>
  <c r="I135" i="13"/>
  <c r="O135" i="13" s="1"/>
  <c r="H135" i="13"/>
  <c r="H134" i="13"/>
  <c r="I134" i="13"/>
  <c r="O134" i="13" s="1"/>
  <c r="I132" i="13"/>
  <c r="O132" i="13" s="1"/>
  <c r="I128" i="13"/>
  <c r="O128" i="13" s="1"/>
  <c r="H128" i="13"/>
  <c r="I153" i="13"/>
  <c r="O153" i="13" s="1"/>
  <c r="H153" i="13"/>
  <c r="I152" i="13"/>
  <c r="O152" i="13" s="1"/>
  <c r="H152" i="13"/>
  <c r="I151" i="13"/>
  <c r="O151" i="13" s="1"/>
  <c r="H151" i="13"/>
  <c r="I150" i="13"/>
  <c r="O150" i="13" s="1"/>
  <c r="H150" i="13"/>
  <c r="I163" i="13"/>
  <c r="O163" i="13" s="1"/>
  <c r="I161" i="13"/>
  <c r="O161" i="13" s="1"/>
  <c r="H161" i="13"/>
  <c r="I160" i="13"/>
  <c r="O160" i="13" s="1"/>
  <c r="H160" i="13"/>
  <c r="I113" i="13" l="1"/>
  <c r="O113" i="13" s="1"/>
  <c r="H114" i="13" l="1"/>
  <c r="H115" i="13"/>
  <c r="H116" i="13"/>
  <c r="I118" i="13"/>
  <c r="O118" i="13" s="1"/>
  <c r="H118" i="13"/>
  <c r="I119" i="13"/>
  <c r="O119" i="13" s="1"/>
  <c r="H119" i="13"/>
  <c r="I112" i="13"/>
  <c r="O112" i="13" s="1"/>
  <c r="H112" i="13"/>
  <c r="I111" i="13"/>
  <c r="O111" i="13" s="1"/>
  <c r="I110" i="13"/>
  <c r="O110" i="13" s="1"/>
  <c r="H110" i="13"/>
  <c r="I109" i="13"/>
  <c r="O109" i="13" s="1"/>
  <c r="H109" i="13"/>
  <c r="I106" i="13" l="1"/>
  <c r="O106" i="13" s="1"/>
  <c r="H106" i="13"/>
  <c r="H105" i="13"/>
  <c r="I105" i="13"/>
  <c r="O105" i="13" s="1"/>
  <c r="I104" i="13"/>
  <c r="O104" i="13" s="1"/>
  <c r="H104" i="13"/>
  <c r="H103" i="13"/>
  <c r="I103" i="13"/>
  <c r="O103" i="13" s="1"/>
  <c r="I102" i="13"/>
  <c r="O102" i="13" s="1"/>
  <c r="H102" i="13"/>
  <c r="H101" i="13"/>
  <c r="I101" i="13"/>
  <c r="O101" i="13" s="1"/>
  <c r="I100" i="13"/>
  <c r="O100" i="13" s="1"/>
  <c r="H100" i="13"/>
  <c r="H99" i="13"/>
  <c r="I99" i="13"/>
  <c r="O99" i="13" s="1"/>
  <c r="I98" i="13"/>
  <c r="O98" i="13" s="1"/>
  <c r="H98" i="13"/>
  <c r="H96" i="13"/>
  <c r="I96" i="13"/>
  <c r="O96" i="13" s="1"/>
  <c r="I94" i="13"/>
  <c r="O94" i="13" s="1"/>
  <c r="H94" i="13"/>
  <c r="H90" i="13"/>
  <c r="I90" i="13"/>
  <c r="O90" i="13" s="1"/>
  <c r="I89" i="13"/>
  <c r="O89" i="13" s="1"/>
  <c r="H89" i="13"/>
  <c r="H143" i="13"/>
  <c r="H87" i="13"/>
  <c r="I87" i="13"/>
  <c r="O87" i="13" s="1"/>
  <c r="I86" i="13"/>
  <c r="O86" i="13" s="1"/>
  <c r="H86" i="13"/>
  <c r="H84" i="13"/>
  <c r="I84" i="13"/>
  <c r="O84" i="13" s="1"/>
  <c r="I83" i="13"/>
  <c r="O83" i="13" s="1"/>
  <c r="H83" i="13"/>
  <c r="H82" i="13"/>
  <c r="I82" i="13"/>
  <c r="O82" i="13" s="1"/>
  <c r="I81" i="13"/>
  <c r="O81" i="13" s="1"/>
  <c r="H81" i="13"/>
  <c r="H79" i="13"/>
  <c r="I79" i="13"/>
  <c r="O79" i="13" s="1"/>
  <c r="I78" i="13"/>
  <c r="O78" i="13" s="1"/>
  <c r="H78" i="13"/>
  <c r="I74" i="13"/>
  <c r="O74" i="13" s="1"/>
  <c r="H74" i="13"/>
  <c r="H71" i="13"/>
  <c r="I71" i="13"/>
  <c r="O71" i="13" s="1"/>
  <c r="I68" i="13"/>
  <c r="O68" i="13" s="1"/>
  <c r="H68" i="13"/>
  <c r="I65" i="13"/>
  <c r="O65" i="13" s="1"/>
  <c r="H65" i="13"/>
  <c r="I66" i="13" l="1"/>
  <c r="O66" i="13" s="1"/>
  <c r="H66" i="13"/>
  <c r="I144" i="13" l="1"/>
  <c r="O144" i="13" s="1"/>
  <c r="H144" i="13"/>
  <c r="I133" i="13"/>
  <c r="O133" i="13" s="1"/>
  <c r="H133" i="13"/>
  <c r="I76" i="13"/>
  <c r="O76" i="13" s="1"/>
  <c r="H76" i="13"/>
  <c r="I64" i="13"/>
  <c r="O64" i="13" s="1"/>
  <c r="H64" i="13"/>
  <c r="H62" i="13"/>
  <c r="I62" i="13"/>
  <c r="O62" i="13" s="1"/>
  <c r="I61" i="13"/>
  <c r="O61" i="13" s="1"/>
  <c r="H61" i="13"/>
  <c r="I55" i="13"/>
  <c r="O55" i="13" s="1"/>
  <c r="H55" i="13"/>
  <c r="H49" i="13"/>
  <c r="I48" i="13"/>
  <c r="O48" i="13" s="1"/>
  <c r="H48" i="13"/>
  <c r="O44" i="13" l="1"/>
  <c r="O43" i="13"/>
  <c r="I38" i="13"/>
  <c r="O38" i="13" s="1"/>
  <c r="H38" i="13"/>
  <c r="I35" i="13"/>
  <c r="O35" i="13" s="1"/>
  <c r="H35" i="13"/>
  <c r="I34" i="13"/>
  <c r="O34" i="13" s="1"/>
  <c r="H34" i="13"/>
  <c r="H33" i="13"/>
  <c r="I33" i="13"/>
  <c r="O33" i="13" s="1"/>
  <c r="I31" i="13"/>
  <c r="O31" i="13" s="1"/>
  <c r="H31" i="13"/>
  <c r="H28" i="13"/>
  <c r="I28" i="13"/>
  <c r="O28" i="13" l="1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4" i="13"/>
  <c r="G145" i="13"/>
  <c r="G146" i="13"/>
  <c r="G147" i="13"/>
  <c r="G148" i="13"/>
  <c r="G149" i="13"/>
  <c r="G150" i="13"/>
  <c r="G151" i="13"/>
  <c r="G152" i="13"/>
  <c r="G153" i="13"/>
  <c r="G154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G222" i="13"/>
  <c r="I155" i="13"/>
  <c r="O155" i="13" s="1"/>
  <c r="H155" i="13"/>
  <c r="H224" i="13" s="1"/>
  <c r="I143" i="13"/>
  <c r="O143" i="13" s="1"/>
  <c r="I224" i="13" l="1"/>
  <c r="G155" i="13"/>
  <c r="G143" i="13"/>
  <c r="B13" i="13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J54" i="13" l="1"/>
  <c r="J224" i="13" s="1"/>
  <c r="G23" i="13" l="1"/>
  <c r="G24" i="13" l="1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12" i="13" l="1"/>
  <c r="G13" i="13"/>
  <c r="G14" i="13"/>
  <c r="G15" i="13"/>
  <c r="G16" i="13"/>
  <c r="G17" i="13"/>
  <c r="G18" i="13"/>
  <c r="G19" i="13"/>
  <c r="G20" i="13"/>
  <c r="G21" i="13"/>
  <c r="G22" i="13"/>
  <c r="G224" i="13" l="1"/>
</calcChain>
</file>

<file path=xl/sharedStrings.xml><?xml version="1.0" encoding="utf-8"?>
<sst xmlns="http://schemas.openxmlformats.org/spreadsheetml/2006/main" count="868" uniqueCount="509">
  <si>
    <t>CONTRATO</t>
  </si>
  <si>
    <t>OBRA</t>
  </si>
  <si>
    <t>INICIO</t>
  </si>
  <si>
    <t>TERMINACION</t>
  </si>
  <si>
    <t>AVANCES</t>
  </si>
  <si>
    <t>MODALIDAD</t>
  </si>
  <si>
    <t>LOCALIDAD</t>
  </si>
  <si>
    <t>FIS.</t>
  </si>
  <si>
    <t>FINAN.</t>
  </si>
  <si>
    <t>LICITACIÓN SIMPLIFICADA</t>
  </si>
  <si>
    <t>DGOP/ITS/FFM-004-2016</t>
  </si>
  <si>
    <t>DGOP/ITS/FFM-005-2016</t>
  </si>
  <si>
    <t>DGOP/ITS/FFM-006-2016</t>
  </si>
  <si>
    <t>DGOP/ITS/FFM-007-2016</t>
  </si>
  <si>
    <t>CELAYA</t>
  </si>
  <si>
    <t>SAN JOSÉ DE GUANAJUATO</t>
  </si>
  <si>
    <t>LA AURORA</t>
  </si>
  <si>
    <t>TENERÍA DEL SANTUARIO</t>
  </si>
  <si>
    <t>TOTAL</t>
  </si>
  <si>
    <t>PAVIMENTACIÓN DE LA CALLE FRANCISCO MÁRQUEZ</t>
  </si>
  <si>
    <t>PAVIMENTACIÓN DE LA CALLE CONSTITUYENTES</t>
  </si>
  <si>
    <t>PAVIMENTACIÓN DE LA CALLE ROMERAL</t>
  </si>
  <si>
    <t>PAVIMENTACIÓN DE LA CALLE EJIDO DE SAN FELIPE, COL. MONTE BLANCO</t>
  </si>
  <si>
    <t>ADJUDICACIÓN DIRECTA</t>
  </si>
  <si>
    <t>SAN JOSE DE YUSTIS</t>
  </si>
  <si>
    <t>DGOP/ITS/IDF-056-2016</t>
  </si>
  <si>
    <t>ELECTRIFICACION DE LA CALLE ALBINO GARCIA COM. RINCON DE TAMAYO, MUNICIPIO DE CELAYA, GTO.</t>
  </si>
  <si>
    <t>RINCÓN DE TAMAYO</t>
  </si>
  <si>
    <t>DGOP/ITS/IDF-062-2016</t>
  </si>
  <si>
    <t>DGOP/ITS/IDF-063-2016</t>
  </si>
  <si>
    <t>DGOP/ITS/IDF-064-2016</t>
  </si>
  <si>
    <t>DGOP/ITS/IDF-065-2016</t>
  </si>
  <si>
    <t>DGOP/ITS/IDF-066-2016</t>
  </si>
  <si>
    <t>DGOP/ITS/IDF-067-2016</t>
  </si>
  <si>
    <t>DGOP/ITS/IDF-068-2016</t>
  </si>
  <si>
    <t>DGOP/ITS-069-2016</t>
  </si>
  <si>
    <t>DGOP/ITS-070-2016</t>
  </si>
  <si>
    <t>PAVIMENTACIÓN DE LA CALLE EJIDO DE LA MACHUCA, COL. MONTEBLANCO</t>
  </si>
  <si>
    <t>PAVIMENTACIÓN DE LA CALLE PÍPILA, LOCALIDAD SAN ELÍAS</t>
  </si>
  <si>
    <t>PAVIMENTACIÓN DE LA CALLE HUERTA DE LOS NARANJOS, COL. LAS HUERTAS (PÓLIGONO COL. PEDRO MARÍA ANAYA)</t>
  </si>
  <si>
    <t>PAVIMENTACIÓN DE LA CALLE IGNACIO ZARAGOZA, LOCALIDAD SAN ISIDRO CRESPO</t>
  </si>
  <si>
    <t>PAVIMENTACIÓN DE LA CALLE PINO SUAREZ, LOCALIDAD SAN JOSÉ DE GUANAJUATO</t>
  </si>
  <si>
    <t>PAVIMENTACIÓN DE LA CALLE PLAN SEXENAL, COL. PATRIA NUEVA</t>
  </si>
  <si>
    <t>PAVIMENTACIÓN DE CALLE CORONEL ELEUTERIO MENDEZ, COL. PEDRO MARÍA ANAYA</t>
  </si>
  <si>
    <t>PAVIMENTO DE CONCRETO HIDRAULICO, GUARNICIONES Y BANQUETAS, CALLE FRANCISCO VILLA, TRAMO LAZARO CARDENAS - IGNACIO ALLENDE, COMUNIDAD SAN JOSE DE YUSTIS, MUNICIPIO DE CELAYA, GTO.</t>
  </si>
  <si>
    <t>PAVIMENTO DE CONCRETO HIDRAULICO, GUARNICIONES Y BANQUETAS, CALLE EUCALIPTO, TRAMO DIAZ ORDAZ - CHAPULTEPEC, COMUNIDAD DE GASCA, MUNICIPIO DE CELAYA, GTO.</t>
  </si>
  <si>
    <t>SAN ELIAS</t>
  </si>
  <si>
    <t>SAN ISIDRO DE CRESPO</t>
  </si>
  <si>
    <t>GASCA</t>
  </si>
  <si>
    <t>DGOP/ITS/IDF-083-2016</t>
  </si>
  <si>
    <t>DGOP/ITS/IDF-089-2016</t>
  </si>
  <si>
    <t>DGOP/ITS/IDF-090-2016</t>
  </si>
  <si>
    <t>DGOP/ITS/IDF-091-2016</t>
  </si>
  <si>
    <t>DGOP/ITS/IDF-092-2016</t>
  </si>
  <si>
    <t>DGOP/ITS/IDF-093-2016</t>
  </si>
  <si>
    <t>DGOP/ITS/IDF-094-2016</t>
  </si>
  <si>
    <t>DGOP/ITS/IDF-095-2016</t>
  </si>
  <si>
    <t>DGOP/ITS/IDF-096-2016</t>
  </si>
  <si>
    <t>DGOP/ITS/IDF-097-2016</t>
  </si>
  <si>
    <t>DGOP/ITS/IDF-098-2016</t>
  </si>
  <si>
    <t>DGOP/ITS/IDF-099-2016</t>
  </si>
  <si>
    <t>DGOP/ITS/IDF-100-2016</t>
  </si>
  <si>
    <t>DGOP/ITS/IDF-101-2016</t>
  </si>
  <si>
    <t>DGOP/ITS/IDF-102-2016</t>
  </si>
  <si>
    <t>DGOP/ITS/IDF-103-2016</t>
  </si>
  <si>
    <t>DGOP/ITS/IDF-104-2016</t>
  </si>
  <si>
    <t>DGOP/ITS/IDF-105-2016</t>
  </si>
  <si>
    <t>PAVIMENTACIÓN DE LA CALLE HUERTA DE LOS CIRUELOS, COL. LAS HUERTAS (PÓLIGONO COL. PEDRO MARÍA ANAYA)</t>
  </si>
  <si>
    <t>PAVIMENTACIÓN DE LA CALLE FRANCISCO J. MUJICA, COL PATRIA NUEVA</t>
  </si>
  <si>
    <t xml:space="preserve">PAVIMENTACIÓN DE LA CALLE NICOLAS BRAVO </t>
  </si>
  <si>
    <t>SAN MIGUEL OCTOPAN</t>
  </si>
  <si>
    <t>PAVIMENTACIÓN DE LA CALLE EMILIANO ZAPATA</t>
  </si>
  <si>
    <t>SAN ISIDRO CRESPO</t>
  </si>
  <si>
    <t>PAVIMENTACIÓN DE LA CALLE VICENTE GUERRERO</t>
  </si>
  <si>
    <t>PAVIMENTACIÓN DE LA CALLE PLAN DE NAVIDAD DE LA COL. LAZARO CARDENAS</t>
  </si>
  <si>
    <t>ESTRADA</t>
  </si>
  <si>
    <t>PAVIMENTACIÓN DE LA CALLE V. CARRANZA</t>
  </si>
  <si>
    <t>SAN ELÍAS</t>
  </si>
  <si>
    <t>PAVIMENTACIÓN DE LA CALLE GUANAJUATO</t>
  </si>
  <si>
    <t>PAVIMENTACIÓN DE LA CALLE IGNACIO ALLENDE</t>
  </si>
  <si>
    <t>PAVIMENTACIÓN DE LA CALLE EJIDO CERRO PRIETO, COL. MONTE BLANCO</t>
  </si>
  <si>
    <t>PAVIMENTACIÓN DE LA CALLE EJIDO SEGUNDA FRACC. DE CRESPO, COL. MONTE BLANCO</t>
  </si>
  <si>
    <t>PAVIMENTACIÓN DE LA CALLE LÁZARO CARDENAS</t>
  </si>
  <si>
    <t xml:space="preserve">PAVIMENTACIÓN DE LA CALLE EMILIANO ZAPATA </t>
  </si>
  <si>
    <t>PAVIMENTACIÓN DE LA CALLE NUEVO LEON</t>
  </si>
  <si>
    <t xml:space="preserve">PAVIMENTACIÓN DE LA CALLE SEGUNDA PRIVADA DE LAS AMERICAS EN LA COL. LAS AMERICAS </t>
  </si>
  <si>
    <t xml:space="preserve">PAVIMENTACIÓN DE LA CALLE FELIPE ÁNGELES, COM. PRIMERA FRACCIÓN DE CRESPO </t>
  </si>
  <si>
    <t>EL MOLINO</t>
  </si>
  <si>
    <t>FRACC. LAS HUERTAS</t>
  </si>
  <si>
    <t>COL. PATRIA NUEVA</t>
  </si>
  <si>
    <t>ELECTRIFICACION DE LA CALLE SIN NOMBRE</t>
  </si>
  <si>
    <t>DGOP/ITS/IDF-110-2016</t>
  </si>
  <si>
    <t>DGOP/ITS/IDF-111-2016</t>
  </si>
  <si>
    <t>REHABILITACION DE ALUMBRADO PUBLICO SAN JUAN DE LA VEGA</t>
  </si>
  <si>
    <t>ALUMBRADO PUBLICO EN LA CALLE FRANCISCO I. MADERO, SAN ELIAS</t>
  </si>
  <si>
    <t>SAN JUAN DE LA VEGA</t>
  </si>
  <si>
    <t>DGOP/ITS/IDF-115-2016</t>
  </si>
  <si>
    <t>DGOP/ITS/IDF-116-2016</t>
  </si>
  <si>
    <t>DGOP/ITS/IDF-117-2016</t>
  </si>
  <si>
    <t>DGOP/ITS/IDF-118-2016</t>
  </si>
  <si>
    <t>PAVIMENTACION DE LA CALLE PLAN DE CORRALITOS DE LA COL. LAZARO CARDENAS</t>
  </si>
  <si>
    <t>PAVIMENTACIÓN DE LA CALLE HERMANOS SERDÁN EN LA COL. EMILIANO ZAPATA</t>
  </si>
  <si>
    <t>PAVIMENTO DE CONCRETO HIDRAULICO, GUARNICIONES Y BANQUETAS CALLE PARAISO, TRAMO: CALLE PERAL - CALLE ARRAYANES, COL. DEL BOSQUE 2DA. SECCIÓN, MUNICIPIO DE CELAYA, GTO.</t>
  </si>
  <si>
    <t>CONSTRUCCIÓN DE PAVIMENTO DE CONCRETO HIDRAULICO, GUARNICIONES Y BANQUETAS, CALLE FRANCISCO VILLA, TRAMO: DESDE DONDE TERMINA EL PAVIMENTO ACTUAL HASTA EL 0+340, COM. RINCÓN DE TAMAYO</t>
  </si>
  <si>
    <t>DGOP/ITS/IDF-129-2016</t>
  </si>
  <si>
    <t>PAVIMENTACIÓN DE LA CALLE OBREGÓN, COMUNIDAD DE SAN ANTONIO GALLARDO (POLIGONO SAN JUAN DE LA VEGA)</t>
  </si>
  <si>
    <t>SAN  JUAN DE LA VEGA</t>
  </si>
  <si>
    <t>DGOP/ITS/IDF-124-2016</t>
  </si>
  <si>
    <t>PAVIMENTACIÓN DE LA PRIVADA PARA ACCESO AL SABES, COMUNIDAD DE SAN JOSÉ DE GUANAJUATO</t>
  </si>
  <si>
    <t>DGOP/ITS/IDF-077-2016</t>
  </si>
  <si>
    <t>ELECTRIFICACIÓN DE LA CALLE FRANCISCO MARQUEZ TRAMO: CAMPO DEPORTIVO A NIÑOS HEROES, COM. TENERIA DEL SANTUARIO, MUNICIPIO DE CELAYA, GTO.</t>
  </si>
  <si>
    <t>DGOP/ITS/IDF-131-2016</t>
  </si>
  <si>
    <t>PAVIMENTACION DE LA CALLE MORELOS, COMUNIDAD DE SAN ELIAS</t>
  </si>
  <si>
    <t>DGOP/ITS/IDF-138-2016</t>
  </si>
  <si>
    <t>DGOP/ITS/IDF-139-2016</t>
  </si>
  <si>
    <t>DGOP/ITS/IDF-140-2016</t>
  </si>
  <si>
    <t>UNIDAD DEPORTIVA SAN JUAN DE LA VEGA, SEGUNDA ETAPA</t>
  </si>
  <si>
    <t>2A. ETAPA DE PARQUE SAN ISIDRO CRESPO</t>
  </si>
  <si>
    <t>2A. ETAPA DE PARQUE PATRIA NUEVA</t>
  </si>
  <si>
    <t>INVERSIÓN CONTRATADA</t>
  </si>
  <si>
    <t>MPAL.</t>
  </si>
  <si>
    <t>ESTATAL</t>
  </si>
  <si>
    <t>MUNICIPIO DE CELAYA GUANAJUATO</t>
  </si>
  <si>
    <t>DGOP/IDF-001-2017</t>
  </si>
  <si>
    <t>DGOP/IDF-002-2017</t>
  </si>
  <si>
    <t>DGOP/IDF-003-2017</t>
  </si>
  <si>
    <t>REHABILITACIÓN AV. MANUEL J. CLOUTHIER (TRAMO AV. SALVADOR ORTEGA A AV. TECNOLÓGICO)</t>
  </si>
  <si>
    <t>REHABILITACIÓN AV. MANUEL J. CLOUTHIER (TRAMO: AV. EL SAUZ A AV. SALVADOR ORTEGA)</t>
  </si>
  <si>
    <t>REHABILITACIÓN AV. MANUEL J. CLOUTHIER (ALUMBRADO PÚBLICO TRAMO: AV. EL SAUZ A AV. LAS TORRES)</t>
  </si>
  <si>
    <t>LICITACIÓN PÚBLICA</t>
  </si>
  <si>
    <t>JUMAPA-CELAYA-OP-2016-67</t>
  </si>
  <si>
    <t>AMPLIACIÓN DE RED DE DRENAJE SANITARIO COMUNIDAD  SAN ELÍAS</t>
  </si>
  <si>
    <t>OTROS RECURSOS</t>
  </si>
  <si>
    <t>DGOP/ITS/IDF-012-2017</t>
  </si>
  <si>
    <t>DGOP/ITS/IDF-013-2017</t>
  </si>
  <si>
    <t>DGOP/ITS/IDF-014-2017</t>
  </si>
  <si>
    <t>DGOP/ITS/IDF-015-2017</t>
  </si>
  <si>
    <t>DGOP/ITS/IDF-016-2017</t>
  </si>
  <si>
    <t>PARQUE DE CONVIVENCIA SOCIAL COLONIA MONTEBLANCO</t>
  </si>
  <si>
    <t>PAVIMENTACION DE LA CALLE ALBINO GARCIA, LOCALIDAD RINCÓN DE TAMAYO</t>
  </si>
  <si>
    <t>PAVIMENTACION DE LA CALLE CONVENTO DE CHURUBUSCO EN LAS COL. PEDRO MARIA ANAYA Y LAS HUERTAS (POLIGONO COL. PEDRO MARIA ANAYA)</t>
  </si>
  <si>
    <t>PAVIMENTACION DE LA CALLE ADELFA, EN LA COL. DEL BOSQUE 3A SECCION</t>
  </si>
  <si>
    <t>PAVIMENTACION DE LAS CALLES NICOLAS BRAVO, CERRITO Y LAS CRUCES, EN LA COMUNIDAD DE SANTA MARIA DEL REFUGIO</t>
  </si>
  <si>
    <t>SANTA MARIA DEL REFUGIO</t>
  </si>
  <si>
    <t>DGOP/ITS/IDF-019-2017</t>
  </si>
  <si>
    <t>DGOP/ITS/IDF-023-2017</t>
  </si>
  <si>
    <t>DGOP/ITS/IDF-025-2017</t>
  </si>
  <si>
    <t>PAVIMENTACIÓN DE LA CALLE VICENTE GUERRERO EN LA COMUNIDAD DE SAN CAYETANO</t>
  </si>
  <si>
    <t>PAVIMENTACION DE LA CALLE PENJAMO, EN LA COL. LAS AMERICAS</t>
  </si>
  <si>
    <t>PAVIMENTACION DE LA CALLE PUEBLO NUEVO, EN LA COL. LAS AMERICAS</t>
  </si>
  <si>
    <t>SAN CAYETANO</t>
  </si>
  <si>
    <t>DGOP/ITS/IDF-034-2017</t>
  </si>
  <si>
    <t>PAVIMENTACIÓN DE LA CALLE GUADALUPE VICTORIA, LOCALIDAD DE SAN JUAN DE LA VEGA EN EL MUNICIPIO DE CELAYA, GTO.</t>
  </si>
  <si>
    <t>DGOP/ITS/IDF-043-2017</t>
  </si>
  <si>
    <t>PAVIMENTACIÓN DE LA CALLE EUSEBIO GONZÁLEZ EN LA COL. LAS AMÉRICAS</t>
  </si>
  <si>
    <t>COL LAS AMERICAS</t>
  </si>
  <si>
    <t>DGOP/ITS/IDF-035-2017</t>
  </si>
  <si>
    <t>SAN JOSÉ EL NUEVO</t>
  </si>
  <si>
    <t>DGOP/ITS/IDF-036-2017</t>
  </si>
  <si>
    <t xml:space="preserve">PAVIMENTACIÓN DE LA CALLE PRIMERA PRIVADA 5 DE MAYO </t>
  </si>
  <si>
    <t>PRIMERA FRACCIÓN DE CRESPO (EL MOLINO)</t>
  </si>
  <si>
    <t>DGOP/ITS/IDF-037-2017</t>
  </si>
  <si>
    <t>PAVIMENTACIÓN  DE LA CALLE HUERTA DE LOS DURAZNOS, COL. LAS HUERTAS (PILOGONO PEDRO MARIA ANAYA)</t>
  </si>
  <si>
    <t>COLONIA PEDRO MARIA ANAYA</t>
  </si>
  <si>
    <t>DGOP/ITS/IDF-131-2017</t>
  </si>
  <si>
    <t>PAVIMENTACIÓN DE LA CALLE BERLIN DE LA COL. AMPLIACION CAMARGO (COL. SAN MARTÍN DE CAMARGO)</t>
  </si>
  <si>
    <t>DGOP/ITS/IDF-103-2017</t>
  </si>
  <si>
    <t>PAVIMENTACIÓN DE LA CALLE ELISEO RODRIGUEZ</t>
  </si>
  <si>
    <t>DGOP/ITS/IDF-081-2017</t>
  </si>
  <si>
    <t>PAVIMENTACIÓN DE LA CALLE BAMBÚ DE LA COL. DEL BOSQUE 1RA. SECC.</t>
  </si>
  <si>
    <t>DGOP/ITS/IDF-038-2017</t>
  </si>
  <si>
    <t>PAVIMENTACIÓN DE LA CALLE REFORMA EN LA COL. AMPLIACIÓN EMILIANO ZAPATA (POLIGONO COL. EMILIANO ZAPATA)</t>
  </si>
  <si>
    <t>DGOP/ITS/IDF-039-2017</t>
  </si>
  <si>
    <t>PAVIMENTACIÓN DE LA CALLE RÍO  TEHUANTEPEC DE LA COL. PROGRESO SOLIDARIDAD</t>
  </si>
  <si>
    <t>DGOP/ITS/IDF-040-2017</t>
  </si>
  <si>
    <t>PAVIMENTACIÓN DE LA CALLE  OLMO  DE LA COL. ARBOLEDAS DE SAN MARTÍN CAMARGO (COL. SAN MARTIN DE CAMARGO)</t>
  </si>
  <si>
    <t>DGOP/ITS/IDF-041-2017</t>
  </si>
  <si>
    <t>PAVIMENTACION DE LA CALLE IGNACIO ALLENDE</t>
  </si>
  <si>
    <t>PRESA BLANCA</t>
  </si>
  <si>
    <t>DGOP/ITS/IDF-042-2017</t>
  </si>
  <si>
    <t>PAVIEMNTACION CALLE ALVARO OBREGON</t>
  </si>
  <si>
    <t>DGOP/ITS/IDF-053-2017</t>
  </si>
  <si>
    <t>PAVIMENTACIÓN DE LA CALLE AMADOR SALAZAR EN LA COL. AMPLIACIÓN EMILIANO ZAPATA (POLIGONO COL. EMILIANO ZAPATA)</t>
  </si>
  <si>
    <t>DGOP/ITS/IDF-128-2017</t>
  </si>
  <si>
    <t>PAVIMENTACIÓN CALLE PIRUL DE LA COL. ARBOLEDAS DE SAN MARTÍN DE CAMARGO (COL. SAN MARTÍN DE CAMARGO)</t>
  </si>
  <si>
    <t>DGOP/ITS/IDF-077-2017</t>
  </si>
  <si>
    <t>PAVIMENTACIÓN DE LA CALLE INGLATERRA  DE LA COL. AMPLIACIÓN CAMARGO (COL. SAN MARTÍN DE CAMARGO)</t>
  </si>
  <si>
    <t>DGOP/ITS/IDF-054-2017</t>
  </si>
  <si>
    <t>PAVIMENTACIÓN DE LA CALLE MADRID  DE LA COL. AMPLIACIÓN CAMARGO (COL. SAN MARTÍN DE CAMARGO)</t>
  </si>
  <si>
    <t>DGOP/ITS/IDF-055-2017</t>
  </si>
  <si>
    <t>PAVIMENTACIÓN DE LA CALLE PASCUAL OROZCO, EN LA COMUNIDAD DE 1A FRACCIÓN DE CREPO, EN EL MINICIPIO DE CELAYA, GTO.</t>
  </si>
  <si>
    <t>DGOP/ITS/IDF-056-2017</t>
  </si>
  <si>
    <t>PAVIMENTACIÓN DE LA CALLE ADOLFO LOPEZ MATEOS</t>
  </si>
  <si>
    <t>SANTA TERESA</t>
  </si>
  <si>
    <t>DGOP/ITS/IDF-080-2017</t>
  </si>
  <si>
    <t>PAVIMENTACIÓN DE LA CALLE MOSCU DE LA COL. AMPLIACIÓN CAMARGO (COL. SAN MARTIN DE CAMARGO)</t>
  </si>
  <si>
    <t>DGOP/ITS/IDF-057-2017</t>
  </si>
  <si>
    <t>PAVIMENTACIÓN DE LA CALLE PARIS DE LA COL. AMPLIACIÓN CAMARGO (COL. SAN MARTIN DE CAMARGO)</t>
  </si>
  <si>
    <t>DGOP/ITS/IDF-071-2017</t>
  </si>
  <si>
    <t>ALUMBRADO PÚBLICO DEL CAMINO DE SAN ELÍAS A SANTA TERESA</t>
  </si>
  <si>
    <t>DGOP/ITS/IDF-076-2017</t>
  </si>
  <si>
    <t>COMPLEMENTACIÓN DE ALUMBRADO PÚBLICO EN CALLE PRIMERA PRIVADA DE LAS AMERICAS DE LA COL. LAS AMERICAS</t>
  </si>
  <si>
    <t>DGOP/ITS/IDF-058-2017</t>
  </si>
  <si>
    <t>PAVIMENTACIÓN DE LA CALLE HUIZACHE DE LA COL. DEL BOSQUE 1RA SECCIÓN</t>
  </si>
  <si>
    <t>DGOP/ITS/IDF-059-2017</t>
  </si>
  <si>
    <t>PAVIMENTACIÓN DE LA CALLE MANGLE DE LA COL. DEL BOSQUE 1RA SECC.</t>
  </si>
  <si>
    <t>DGOP/ITS/IDF-060-2017</t>
  </si>
  <si>
    <t>PAVIMENTACIÓN DE LA CALLE MENTA EN LA COL. DEL BOSQUE 3RA SECC</t>
  </si>
  <si>
    <t>DGOP/ITS/IDF-061-2017</t>
  </si>
  <si>
    <t>PAVIMENTACIÓN DE LA CALLE FRANCISCO VILLA</t>
  </si>
  <si>
    <t>DGOP/ITS/IDF-062-2017</t>
  </si>
  <si>
    <t>PAVIMENTACIÓN DE LA CALLE AVENIDA DEL TRABAJO</t>
  </si>
  <si>
    <t>SAN ISIDRO DE LA CONCEPCIÓN</t>
  </si>
  <si>
    <t>RE-EQUIPAMIENTO ELECTROMECANICO DE POZO PARA AGUA POTABLE COLONIA PATRIA NUEVA</t>
  </si>
  <si>
    <t>COLONIA PATRIA NUEVA</t>
  </si>
  <si>
    <t>DGOP/ITS/IDF-082-2017</t>
  </si>
  <si>
    <t>PAVIMENTACION DE LA CALLE BARCELONA DE LA COL. AMPLIACIÓN CAMARGO (COL. SAN MARTIN DE CAMARGO)</t>
  </si>
  <si>
    <t>DGOP/ITS/IDF-088-2017</t>
  </si>
  <si>
    <t>PAVIMENTACION DE LA CALLE BENITO JUAREZ DE LA COL. SAN MARTIN DE CAMARGO</t>
  </si>
  <si>
    <t>DGOP/ITS/IDF-089-2017</t>
  </si>
  <si>
    <t>PAVIMENTACION DE LA CALLE VALENCIA DE LA COL. AMPLIACION CAMARGO (COL. SAN MARTIN DE CAMARGO)</t>
  </si>
  <si>
    <t>DGOP/ITS/IDF-090-2017</t>
  </si>
  <si>
    <t>PAVIMENTACION DE LA CALLE PROLONGACION ALVARO OBREGON DE LA COL. SAN MARTIN DE CAMARGO</t>
  </si>
  <si>
    <t>DGOP/ITS/IDF-091-2017</t>
  </si>
  <si>
    <t>PAVIMENTACION DE LA AVENIDA SAN JUAN</t>
  </si>
  <si>
    <t>DGOP/ITS/IDF-072-2017</t>
  </si>
  <si>
    <t>PAVIMENTACION DE LA CALLE PASEO DE GUANAJUATO DE LA COL. BOSQUE 2DA SECC</t>
  </si>
  <si>
    <t>DGOP/ITS/IDF-073-2017</t>
  </si>
  <si>
    <t>PAVIMENTACION DE LA CALLE CHABACANO DE LA COL. DEL BOSQUE 2DA SECC</t>
  </si>
  <si>
    <t>RED DE AGUA POTABLE EN LA COLONIA PATRIA NUEVA</t>
  </si>
  <si>
    <t>RED DE AGUA POTABLE EN LA COLONIA PEDRO MARIA ANAYA</t>
  </si>
  <si>
    <t>DGOP/ITS/IDF-132-2017</t>
  </si>
  <si>
    <t>PAVIMENTACION DE LA PRIVADA RAMOS MILLAN EN LA COL. LAS AMERICAS</t>
  </si>
  <si>
    <t>COL. LAS AMERICAS</t>
  </si>
  <si>
    <t>DGOP/ITS/IDF-097-2017</t>
  </si>
  <si>
    <t>PAVIMENTACIÓN DE LA CALLE AMBROSIO FIGUEROA EN LA COL. AMPLIACIÓN EMILIANO ZAPATA (POLIGONO COL. EMILIANO ZAPATA)</t>
  </si>
  <si>
    <t>COL. EMILIANO ZAPATA</t>
  </si>
  <si>
    <t>DGOP/ITS/IDF-133-2017</t>
  </si>
  <si>
    <t>PAVIMENTACION DE LA CALLE PLAZA DE LA INDEPENDENCIA</t>
  </si>
  <si>
    <t>DGOP/ ITS/IDF-127-2017</t>
  </si>
  <si>
    <t>PAVIMENTACION DE LA CALLE MISPERO DE LA COL. DEL BOSQUE 2DA. SECC.</t>
  </si>
  <si>
    <t>DGOP/ITS/IDF-099-2017</t>
  </si>
  <si>
    <t>PAVIMENTACION DE LA CALLE MIGUEL HIDALGO</t>
  </si>
  <si>
    <t>DGOP/ITS/IDF-110-2017</t>
  </si>
  <si>
    <t>PAVIMENTACION DE LA CALLE NIÑO PERDIDO</t>
  </si>
  <si>
    <t>DGOP/ITS/IDF-146-2017</t>
  </si>
  <si>
    <t>PAVIMENTACION DE LA CALLE REVOLUCION</t>
  </si>
  <si>
    <t>DGOP/ITS/IDF-124-2017</t>
  </si>
  <si>
    <t>PAVIMENTACION DE LA CALLE BONIFACIO GARCÍA DE LA COL. AMPLIACIÓN EMILIANO ZAPATA (POLÍGONO COL EMILIANO ZAPATA)</t>
  </si>
  <si>
    <t>DGOP/ITS/IDF-092-2017</t>
  </si>
  <si>
    <t>PAVIMENTACION DE LA CALLE BENITO JUAREZ</t>
  </si>
  <si>
    <t>EL SAUZ (EL SAUZ DE VILLASEÑOR)</t>
  </si>
  <si>
    <t>DGOP/ITS/IDF-093-2017</t>
  </si>
  <si>
    <t>PAVIMENTACION DE LA CALLE HAYA DE LA COL. DEL BOSQUE 1RA. SECC.</t>
  </si>
  <si>
    <t>COL. DEL BOSQUE</t>
  </si>
  <si>
    <t>DGOP/ITS/IDF-094-2017</t>
  </si>
  <si>
    <t>PAVIMENTACION DE LA CALLE MIGUEL HIDALGO COM. SANTA TERESA</t>
  </si>
  <si>
    <t>SANTA TRERESA</t>
  </si>
  <si>
    <t>DGOP/ITS/IDF-095-2017</t>
  </si>
  <si>
    <t>PAVIMENTACION DE LA CALLE INDUSTRIA ELECTRICA, COM. EL BECERRO (SANTOS DEGOLLADO)</t>
  </si>
  <si>
    <t>EL BECERRO (SANTOS DEGOLLADO)</t>
  </si>
  <si>
    <t>DGOP/ITS/IDF-096-2017</t>
  </si>
  <si>
    <t>PAVIMENTACION DEL BOULEVARD ADOLFO LÓPEZ MATEOS Y CALLE CALLE IGNACIO ALLENDE</t>
  </si>
  <si>
    <t>JAUREGUI</t>
  </si>
  <si>
    <t>DGOP/ITS/IDF-138-2017</t>
  </si>
  <si>
    <t>DGOP/ITS/IDF-135-2017</t>
  </si>
  <si>
    <t>DGOP/ITS/IDF-111-2017</t>
  </si>
  <si>
    <t>DGOP/IDF-112-2017</t>
  </si>
  <si>
    <t>DGOP/ITS/IDF-134-2017</t>
  </si>
  <si>
    <t>DGOP/ITS/IDF-113-2017</t>
  </si>
  <si>
    <t>DGOP/IDF-114-2017</t>
  </si>
  <si>
    <t>DGOP/IDF-139-2017</t>
  </si>
  <si>
    <t>DGOP/ITS-115-2017</t>
  </si>
  <si>
    <t>DGOP/ITS-116-2017</t>
  </si>
  <si>
    <t>DGOP/ITS/IDF-140-2017</t>
  </si>
  <si>
    <t>DGOP/ITS/IDF-118-2017</t>
  </si>
  <si>
    <t>DGOP/ITS/IDF-119-2017</t>
  </si>
  <si>
    <t>DGOP/ITS/IDF-120-2017</t>
  </si>
  <si>
    <t>DGOP/ITS/IDF-121-2017</t>
  </si>
  <si>
    <t>DGOP/ITS/IDF-144-2017</t>
  </si>
  <si>
    <t>DGOP/ITS/IDF-137-2017</t>
  </si>
  <si>
    <t>DGOP/ITS/IDF-136-2017</t>
  </si>
  <si>
    <t>DGOP/ITS/IDF-169-2017</t>
  </si>
  <si>
    <t>DGOP/ITS/IDF-174-2017</t>
  </si>
  <si>
    <t>DGOP/IDF-170-2017</t>
  </si>
  <si>
    <t xml:space="preserve">                                              </t>
  </si>
  <si>
    <t>AL 31 DE DICIEMBRE DE 2017</t>
  </si>
  <si>
    <t>DGOP/ITS/IDF-193-2017</t>
  </si>
  <si>
    <t>DGOP/ITS/IDF-194-2017</t>
  </si>
  <si>
    <t>DGOP/ITS/IDF-195-2017</t>
  </si>
  <si>
    <t>DGOP/ITS/IDF-196-2017</t>
  </si>
  <si>
    <t>DGOP/ITS/IDF-197-2017</t>
  </si>
  <si>
    <t>DGOP/ITS/IDF-198-2017</t>
  </si>
  <si>
    <t>DGOP/ITS/IDF-199-2017</t>
  </si>
  <si>
    <t>DGOP/ITS/IDF-200-2017</t>
  </si>
  <si>
    <t>DGOP/ITS/IDF-201-2017</t>
  </si>
  <si>
    <t>DGOP/ITS/IDF-202-2017</t>
  </si>
  <si>
    <t>DGOP/ITS/IDF-187-2017</t>
  </si>
  <si>
    <t>DGOP/ITS/IDF-175-2017</t>
  </si>
  <si>
    <t>DGOP/ITS/IDF-203-2017</t>
  </si>
  <si>
    <t>LICITACION PUBLICA</t>
  </si>
  <si>
    <t>EJECUTA INIFEG</t>
  </si>
  <si>
    <t>DGOP/ITS/IDF-237-2017</t>
  </si>
  <si>
    <t>DGOP/IDF-217-2017</t>
  </si>
  <si>
    <t>DGOP/ITS/IDF-231-2017</t>
  </si>
  <si>
    <t>DGOP/ITS/IDF-236-2017</t>
  </si>
  <si>
    <t>DGOP/IDF-233-2017</t>
  </si>
  <si>
    <t>DGOP/ITS/IDF-232-2017</t>
  </si>
  <si>
    <t>DGOP/ITS/IDF-205-2017</t>
  </si>
  <si>
    <t>DGOP/ITS/IDF-206-2017</t>
  </si>
  <si>
    <t>DGOP/ITS/IDF-220-2017</t>
  </si>
  <si>
    <t>DGOP/ITS/IDF-207-2017</t>
  </si>
  <si>
    <t>DGOP/ITS/IDF-208-2017</t>
  </si>
  <si>
    <t>20 abe 18</t>
  </si>
  <si>
    <t>DGOP/IDF-234-2017</t>
  </si>
  <si>
    <t>DGOP/IDF-221-2017</t>
  </si>
  <si>
    <t>DGOP/ITS/IDF-219-2017</t>
  </si>
  <si>
    <t>DGOP/ITS/IDF-222-2017</t>
  </si>
  <si>
    <t>DGOP/ITS/IDF-098-2017</t>
  </si>
  <si>
    <t>PAVIMENTACION DE LA CALLE FRANCISCO I MADERO EL BECERRO (SANTOS DEGOLLADO)</t>
  </si>
  <si>
    <t>EL BECERRO</t>
  </si>
  <si>
    <t>DGOP/ITS/IDF-178-2017</t>
  </si>
  <si>
    <t>PAVIMENTACION DE LA CALLE MAURICIO CLARK</t>
  </si>
  <si>
    <t>DGOP/ITS-117-2017</t>
  </si>
  <si>
    <t>DGOP/ITS/IDF-149-2017</t>
  </si>
  <si>
    <t>DGOP/ITS/IDF-150-2017</t>
  </si>
  <si>
    <t>DGOP/ITS/IDF-226-2017</t>
  </si>
  <si>
    <t>DGOP/ITS/IDF-151-2017</t>
  </si>
  <si>
    <t>DGOP/ITS/IDF-152-2017</t>
  </si>
  <si>
    <t>DGOP/ITS/IDF-153-2017</t>
  </si>
  <si>
    <t>DGOP/ITS/IDF-154-2017</t>
  </si>
  <si>
    <t>DGOP/ITS/IDF-155-2017</t>
  </si>
  <si>
    <t>DGOP/ITS/IDF-156-2017</t>
  </si>
  <si>
    <t>DGOP/ITS/IDF-157-2017</t>
  </si>
  <si>
    <t>DGOP/ITS/IDF-181-2017</t>
  </si>
  <si>
    <t>DGOP/ITS-158-2017</t>
  </si>
  <si>
    <t>DGOP/ITS/IDF-159-2017</t>
  </si>
  <si>
    <t>20 04- 18</t>
  </si>
  <si>
    <t>DGOP/ITS/IDF-160-2017</t>
  </si>
  <si>
    <t>DGOP/ITS/IDF-161-2017</t>
  </si>
  <si>
    <t>DGOP/ITS/IDF-162-2017</t>
  </si>
  <si>
    <t>DGOP/ITS/IDF-163-2017</t>
  </si>
  <si>
    <t>DGOP/ITS/IDF-164-2017</t>
  </si>
  <si>
    <t>DGOP/ITS/IDF-165-2017</t>
  </si>
  <si>
    <t>DGOP/IDF-148-2017</t>
  </si>
  <si>
    <t>DGOP/ITS/IDF-166-2017</t>
  </si>
  <si>
    <t>DGOP/ITS/IDF-167-2017</t>
  </si>
  <si>
    <t>DGOP/ITS/IDF-235-2017</t>
  </si>
  <si>
    <t>DGOP/ITS/IDF-172-2017</t>
  </si>
  <si>
    <t>DGOP/ITS/IDF-192-2017</t>
  </si>
  <si>
    <t>DGOP/IDF-179-2017</t>
  </si>
  <si>
    <t>EJECUTA LA SOP</t>
  </si>
  <si>
    <t>DGOP/ITS/IDF-243-2017</t>
  </si>
  <si>
    <t>DGOP/ITS/IDF-244-2017</t>
  </si>
  <si>
    <t>DGOP/ITS-240-2017</t>
  </si>
  <si>
    <t>INVERSION "PAGADO" EMPRESTITO</t>
  </si>
  <si>
    <t>151-5-17</t>
  </si>
  <si>
    <t>161-17</t>
  </si>
  <si>
    <t>PAVIMENTACIÓN DE LA CALLE MARIANO JIMENEZ LOC. SANTA MARÍA DEL REFUGIO</t>
  </si>
  <si>
    <t>SANTA MARÍA DEL REFUGIO</t>
  </si>
  <si>
    <t>PAVIMENTACIÓN DE LA CALLE MEZQUITE DE KLA COL. DEL BOSQUE 1RA. SECC.</t>
  </si>
  <si>
    <t>PAVIMENTACIÓN DE LA CALLE ALDAMA LOC. SANTA TERESA</t>
  </si>
  <si>
    <t>PAVIMENTACIÓN DE LA CALLE AGUACATE COL. DEL BOSQUE 2DA. SECC.</t>
  </si>
  <si>
    <t>PAVIMENTACIÓN DE LA CALLE IRAPUATO EN LA COL. SANTA MARÍA</t>
  </si>
  <si>
    <t>PAVIMENTACIÓN DE LA CALLE VILLAGRAN EN LA COL. SANTA MARÍA</t>
  </si>
  <si>
    <t>PAVIMENTACIÓN DE LA CALLE PRESA DE LA ESPERANZA EN LA COL. ALFFREDO BONFIL</t>
  </si>
  <si>
    <t>PAVIMENTACIÓN DE LA CALLE PIPILA COL. ARBOLEDAS DE SAN MARTÍN DE CAMARGO (COL. SAN MARTÍN DE CAMARGO)</t>
  </si>
  <si>
    <t>PAVIMENTACIÓN DE LA CALLE PLAN DE SAN LUIS DE LA COL. EMILIANO ZAPATA</t>
  </si>
  <si>
    <t>PAVIMENTACIÓN DE LA CALLE GUAYABO DE LAS COL. DEL BOSQUE 2DA. SECC. Y DEL BOSQUE 3RA. SECC.</t>
  </si>
  <si>
    <t>PAVIMENTACIÓN DE LA CALLE MIGUEL HIDALGO</t>
  </si>
  <si>
    <t>COL. DEL BOSQUE 2A. SECCION</t>
  </si>
  <si>
    <t>PAVIMENTACIÓN DE LA CALLE BENITO JUAREZ LOC. SANTA TERESA</t>
  </si>
  <si>
    <t>PAVIMENTACIÓN DE LA CALLE EJIDO DE LAS MAGDALENAS DE LA COL. EJIDAL</t>
  </si>
  <si>
    <t>ELECTRIFICACIÓN DE LA CALLE GUADALUPE TRAMO: ALVARO OBREGON A PARCELAS</t>
  </si>
  <si>
    <t>PRIMERA FRACCIÓN DE CRESPO(EL MOLINO)</t>
  </si>
  <si>
    <t>ELECTRIFICACIÓN DE LA CALLE INSURGENTES COMUNIDAD DE PRIMERA FRACCIÓN DE CRESPO (EL MOLINO)</t>
  </si>
  <si>
    <t>PAVIMENTACIÓN DE LA CALLE SEGUNDA DE CACAO EN LA COL.DEL BOSQUE 3A. SECC.</t>
  </si>
  <si>
    <t>PAVIMENTACIÓN DE LA CALLE EJIDO DE LA CRUZ CUERPO PONIENTE EN LA COL. EJIDAL</t>
  </si>
  <si>
    <t>REHABILITACIÓN DEL JARDIN PRINCIPAL COM. SAN JUAN DE LA VEGA</t>
  </si>
  <si>
    <t>PAVIMENTACIÓN DE LA CALLE ROBERTO OLIVEROS Y DIAZ ORDAZ</t>
  </si>
  <si>
    <t>MODULO DEPORTIVO MULTIDICIPLINARIO COM. PRIMERA FRACCIÓN DE CRESPO (EL MOLINO)</t>
  </si>
  <si>
    <t>PRIMERA FRACCIÓN DE CRESPO( EL MOLINO)</t>
  </si>
  <si>
    <t>PAVIMENTACIÓN DE LA CALLE PLAN DE TUXTEPEC DE LA COLONIA LAZARO CARDENAS</t>
  </si>
  <si>
    <t>PAVIMENTACIÓN DE LA CALLE 16 DE SEPTIEMBRE EL BECERRO (SANTOS DEGOLLADO)</t>
  </si>
  <si>
    <t>PAVIMENTACIÓN DE LA CALLE  DEPORTIVA</t>
  </si>
  <si>
    <t>PAVIMENTACIÓN DE LA CALLE BENITO JUAREZ</t>
  </si>
  <si>
    <t>SAN NICOLAS ESQUIROS</t>
  </si>
  <si>
    <t>REHABILITACIÓN DE ESPACIO PÚBLICO, COM. PRESA BLANCA</t>
  </si>
  <si>
    <t>AMPLIACIÓN DE ESPACIO PÚBLICO, JARDÍN PRINCIPAL COM. EL SAUZ (EL SAUZ DE VILLASEÑOR)</t>
  </si>
  <si>
    <t>EL SAUZ ( EL SAUZ DE VILLASEÑOR)</t>
  </si>
  <si>
    <t>CONSTRUCCIÓN DE PARQUE DE CONVIVENCIA SOCIAL, COM. SAN ELÍAS</t>
  </si>
  <si>
    <t>REHABILITACIÓN DE CANCHAS Y GIMNASIO AL AIRE LIBRE EN LA UNIDAD DEPORTIVA EMILIANO ZAPATA, CELAYA, GTO.</t>
  </si>
  <si>
    <t>PAVIMENTACIÓN DE LA CALLE EJIDO DE SANTA CLARA EN LA COL. EJIDAL</t>
  </si>
  <si>
    <t>COL. EJIDAL</t>
  </si>
  <si>
    <t>PAVIMENTACIÓN DE LA CALLE  LAZARO CARDENAS EN LA COL. EMILIANO ZAPATA</t>
  </si>
  <si>
    <t>PAVIMENTACIÓN DE LA CALLE RIO COATZACOALCOS, EN LA COL. PROGRESO SOLIDARIDAD</t>
  </si>
  <si>
    <t>COL. PROGRESO SOLIDARIDAD</t>
  </si>
  <si>
    <t>PAVIMENTACIÓN DE LA CALLE REPARTO AGRARIO COL. PATRIA NUEVA</t>
  </si>
  <si>
    <t>PAVIMENTACIÓN DE LA CALLE PIPILA PRIMERA FRACCIÓN DE CRESPO(EL MOLINO)</t>
  </si>
  <si>
    <t>PAVIMENTACIÓN DE LA CALLE CUAUHTEMOC PRIMERA FRACCIÓN DE CRESPO(EL MOLINO)</t>
  </si>
  <si>
    <t>PAVIMENTACIÓN DE LA CALLE FRANCISCO VLILLA PRIMERA FRACCIÓN DE CRESPO(EL MOLINO)</t>
  </si>
  <si>
    <t>AMPLIACIÓN DE JARDIN PRINCIPAL COM. EL BECERRO (SANTOS DEGOLLADO)</t>
  </si>
  <si>
    <t>PAVIMENTACIÓN DE LA CALLE JOSÉ VASCONCELOS Y CALLE PROLONGACIÓNJOSÉ VASCONCELOS PRIMERA FRACCIÓN DE CRESPO (EL MOLINO)</t>
  </si>
  <si>
    <t>REHABILITACIÓN DE ESPACIO DEPORTIVO (REUBICACIÓN DE CANCHA DE FUTBOL, GIMNASIO AL AIRE LIBRE, TROTAPISTA) PRIMERA FRACCÓN DE CRESPO (EL MOLINO)</t>
  </si>
  <si>
    <t>CONSTRUCCIÓN DE PARQUE DE CONVIVENCIA SOCIAL SAN ELIAS (GIMNASIO AL AIRE LIBRE, TROTAPISTA) SAN ELIAS</t>
  </si>
  <si>
    <t>ELECTRIFICACIÓN DE LA CALLE JAIME NUNO EL SAUZ (EL SAUZ DE VILLASEÑOR)</t>
  </si>
  <si>
    <t>EL SAUZ DE VILLASEÑOR</t>
  </si>
  <si>
    <t>ELECTRIFICACIÓN DE LA CALLE SAN ISIDRO EL SAUZ (EL SAUZ DE VILLASEÑOR)</t>
  </si>
  <si>
    <t>ELECTRIFICACIÓN DE CALLE EJIDO DE LAS MAGDALENAS DE LA COL. EJIDAL</t>
  </si>
  <si>
    <t>PAVIMENTACIÓN DE LA CALLE IGNACIO MAYA EN LA COL. EILIANO ZAPATA</t>
  </si>
  <si>
    <t>PAVIMENTACIÓN DE LA AVENIDA JUAN JOSÉ TORRES LANDA COM. EL BECERRO (SANTOS DEGOLLADO)</t>
  </si>
  <si>
    <t>CONSTRUCCIÓN DE GUARNIOCIONES Y BANQUETAS CALLE PLAN DE HOSPICIO DE LA COL. LAZARO CÁRDENAS</t>
  </si>
  <si>
    <t>COL. LAZARO CÁRDENAS</t>
  </si>
  <si>
    <t>PAVIMENTACIÓN DE LA CALLE  GERANIOS COM. JAUREGUI</t>
  </si>
  <si>
    <t>ALUMBRADO PÚBLICO DE LA CALLE LAZARO CARDENAS (ACCESO A TELESECUNDARIA) COM. PRESA BLANCA</t>
  </si>
  <si>
    <t>CONSTRUCCIÓN DE PARQUE DE CONVIVENCIA SOCIAL TENERIA DEL SANTUIARIO</t>
  </si>
  <si>
    <t>TENERIA DEL SANTUARIO</t>
  </si>
  <si>
    <t>PAVIMENTACIÓN DE LA CALLE 18 DE MARZO COM. SANTA MARÍA DEL REFUGIOO</t>
  </si>
  <si>
    <t>SANTA MARÍA DEL REFIGIO</t>
  </si>
  <si>
    <t>REHABILITACIÓN DE ESPACIO PÚBLICO EN LA COL. PROGRESO SOLIDARIDAD</t>
  </si>
  <si>
    <t>COL. PROGERESO SOLIDARIDAD</t>
  </si>
  <si>
    <t>REHABILITACIÓN DE ESPACIO DEPORTIVO SAN MIGUEL OCTOPAN</t>
  </si>
  <si>
    <t>CONSTRUCCIÓN DE PARQUE DE CONVIVENCIA SOCAIL EN LA COMUNIDAD DE SANTA MARÍA DEL REFUGIO</t>
  </si>
  <si>
    <t>CONSTRUCCIÓN DE PARQUE DE CONVIVENCIA SOCAIL EN LA COL. LAZARO CARDENAS</t>
  </si>
  <si>
    <t>COL. LAZARO CARDENAS</t>
  </si>
  <si>
    <t>CONSTRUCCIÓN DE PARQUE DE CONVIVENCIA SOCAIL EN LA COL. DEL BOSQUE 2DA. SECC.</t>
  </si>
  <si>
    <t>COL. DEL BOSQUE 2DA. SECC.</t>
  </si>
  <si>
    <t>PAVIMENTACIÓN DE LA CALLE NIÑOS HEROES, COL. SANTA MARÍA DEL REFUGIO</t>
  </si>
  <si>
    <t>PAVIMENTACIÓN DE LA CALLE RÍO ATOYAC DE LA COL. PROGRESO SOLIDARIDAD</t>
  </si>
  <si>
    <t>REHABILITACIÓN DEL CAMINO DE ACCESO A LA COMUNIDAD DE ESTRADA</t>
  </si>
  <si>
    <t>PAVIMENTACIÓN DE LA CALLE LICENCIADO JOSÉ VASCONCELOS, COM. EL SAUZ (EL SAUZ DE VILLASEÑOR)</t>
  </si>
  <si>
    <t>CONSTRUCCIÓN DE GUARNICONES, BANQUETAS Y CICLOVÍA EN CALLE MIGUEL HIDALGO COM. SAN JOSÉ EL NUEVO</t>
  </si>
  <si>
    <t xml:space="preserve">PAVIMENTACIÓN DE LA CALLE IGNACIO ALLENDE </t>
  </si>
  <si>
    <t>CONSTRUCCIÓN DE TECHADO EN CANCHA Y GIMNASIO AL AIRE LIBRE EN ESPACIO PÚBLICO DE LA COMUNIDAD DE SAN CAYETANO</t>
  </si>
  <si>
    <t>ALUMBRADO DEL CAMINO DE ACCESO, COMUNIDAD DE SAN JOSE EL NUEVO</t>
  </si>
  <si>
    <t>SAN JOSE EL NUEVO</t>
  </si>
  <si>
    <t>PAVIMENTACIÓN DE LA CALLE NICOLAS BRAVO</t>
  </si>
  <si>
    <t>ALUMBRADO PÚBLICO DEL CAMINO DE ACCESO A PRESA BLANCA</t>
  </si>
  <si>
    <t>ALUMBRADO DE CALLE CAMINO A SAN MIGUEL OCTOPAN DE LA COL. CIUDAD INDUSTRIAL (POLÍGONO DE LA COLONIA EMILIANO ZAPATA)</t>
  </si>
  <si>
    <t>PAVIMENTACIÓN DE LAS CALLES LUIS DONALDO COLOSIO, MATAMOROS Y CORREGIDORA. SAN NICOLAS ESQUIROS</t>
  </si>
  <si>
    <t>PAVIMENTACIÓN DE LA CALLE ZARAGOZA</t>
  </si>
  <si>
    <t>CONSTRUCCIÓN DE PARQUE DE CONVIVENCIA SOCIAL EN LA COMUNIDAD DE JAUREGUI (CANCHA DE FUTBOL, GIMNASIO AL AIRE LIBRE Y OBRA COMPLEMENTARIA)</t>
  </si>
  <si>
    <t>PAVIMENTACIÓN DE LA CALLE RIO BRAVO DE LA COL. ARBOLEDAS DE SAN MARTÍN DE CAMARGO (COL. SAN MARTÍN DE CAMARGO)</t>
  </si>
  <si>
    <t>ALUMBRADO PÚBLICO EN LA COL. SANTA TERESITA</t>
  </si>
  <si>
    <t>ALUMBRADO DE LA CALLE FRANCISCO VILLA</t>
  </si>
  <si>
    <t>ALUMBRADO PÚBLICO DE LLA CALLE IGNACIO ALLENDE, COM. SAN NICOLAS ESQUIROS</t>
  </si>
  <si>
    <t>ALUMBRADO PÚBLICO DE LA CALLE AMPLIACIÓN CORREGIDORA</t>
  </si>
  <si>
    <t>SAN NICOLÁS ESQUIROS</t>
  </si>
  <si>
    <t>PAVIMENTACIÓN DEL A CALLE LA SAUCEDA, COM. GASCA</t>
  </si>
  <si>
    <t>GASACA</t>
  </si>
  <si>
    <t>ALUMBRADO PÚBLICO EN LA CALLE FRANCISCO GONZALEZ, COM. GASCA</t>
  </si>
  <si>
    <t>REHABILITACIÓN DE ALUMBRADO PÚBLICO DEL JARDÍN DE RINCÓN DE TAMAYO</t>
  </si>
  <si>
    <t>ELECTRIFICACIÓN DE LA 2DA. PRIV. DE 5 DE MAYO, PRIMERA FRACCIÓN DE CRESPO (EL MOLINO)</t>
  </si>
  <si>
    <t>PAVIMENTO DE LA CALLE ALVARO OBREGÓN Y DIAZ ORDAZ, TRAMO: DE CALLE CHAPULTEPEC Y CALLE ROBERTO OLIVEROS EN LA COM. DE GASCA</t>
  </si>
  <si>
    <t>ELECTRIFICACIÓN DE LA CALLE 1RA. Y 2DA PRIVADA EMILIANO ZA´PATA, RINCÓN DE TAMAYO</t>
  </si>
  <si>
    <t>CONSTRUCCIÓPN DE 1 TECHADO PARA PATIO CIVICO DE 20.00 X 8.00 MTS. CON CIMENTACIÓN DE CONCRETO ARMADO, MAS CONSTRUCCIÓN DE PATIO CIVICO, INCLUYE ASTA BANDERA Y BEBEDERO EN EL JARDÍN DE NIÑOS SOR JUANA INES DE LA CRUZ CON C.C.T. 11 EJN0244G. UBICADO EN LA CALLE SALAMANCA NUM- 209, COL. BAJIO DE LAS AMÉRICAS EN EL MUNICIPIO DE CELAYA, GTO.</t>
  </si>
  <si>
    <t>LA TRINIDAD</t>
  </si>
  <si>
    <t>AMPLIACIÓN DE RED DE DRENAJE SANITARIO EN LA AV. SAN RAFAEL Y CIRCUITO SANTA TERESA, COL. SAN RAFAEL</t>
  </si>
  <si>
    <t>REHABILITACIÓN DE LA UNIDAD DEPORTIVA NORTE, EN LA CIUDAD DE CELAYA, GTO.</t>
  </si>
  <si>
    <t>JUMAPA-CELAYA-OP-2017-41</t>
  </si>
  <si>
    <t>RED DE DRENAJE EN LA CALLE FRANCISCO VILLA COMUNIDAD SAN ELIAS</t>
  </si>
  <si>
    <t>Adjudicación Directa</t>
  </si>
  <si>
    <t>JUMAPA-CELAYA-OP-2017-62</t>
  </si>
  <si>
    <t>JUMAPA-CELAYA-OP-2017-63</t>
  </si>
  <si>
    <t>JUMAPA-CELAYA-OP-2017-64</t>
  </si>
  <si>
    <t>JUMAPA-CELAYA-OP-2017-65</t>
  </si>
  <si>
    <t>EQUIPAMIENTO DE POZO PROFUNDO ZARAGOZA</t>
  </si>
  <si>
    <t>JUMAPA-CELAYA-OP-2017-66</t>
  </si>
  <si>
    <t>AMPLIACION DE LA RED DE AGUA POTABLE DE LA CALLE BENITO JUAREZ, TRAMO: CALLE 2DA DE BENITO JUAREZ A 500 M HACIA PONIENTE</t>
  </si>
  <si>
    <t xml:space="preserve"> </t>
  </si>
  <si>
    <t>JUMAPA-CELAYA-OP-2017-67</t>
  </si>
  <si>
    <t>AMPLIACION DE RED DE DRENAJE CALLE FRANCISCO VILLA, TRAMO: CALLE LAS FLORES AL FONDO</t>
  </si>
  <si>
    <t>JUMAPA-CELAYA-OP-2017-68</t>
  </si>
  <si>
    <t>RED DE DRENAJE SANITARIO SANITARIO DE LAS CALLES PRIV. 5 DE MAYO Y PRIV NUEVO LEON EN LA COMUNIDAD ESTRADA</t>
  </si>
  <si>
    <t>JUMAPA-CELAYA-OP-2017-69</t>
  </si>
  <si>
    <t>AMPLIACION DE LA RED DE DRENAJE SANITARIO EN LA COMUNIDAD DE LA TRINIDAD</t>
  </si>
  <si>
    <t>Licitación Simplificada</t>
  </si>
  <si>
    <t>JUMAPA-CELAYA-OP-2017-73</t>
  </si>
  <si>
    <t>JUMAPA-CELAYA-OP-2017-74</t>
  </si>
  <si>
    <t>RED DE DRENAJE SANITARIO DE LAS CALLES VENUSTIANO CARRANZA Y PRIVADA 16 DE SEPTIEMBRE, COMUNIDAD TENERIA DEL SANTUARIO (PRIMERA ETAPA)</t>
  </si>
  <si>
    <t>TENERIA DEL SANTURIO</t>
  </si>
  <si>
    <t>JUMAPA-CELAYA-OP-2017-75</t>
  </si>
  <si>
    <t>RED DE DRENAJE DE LA CALLE AQUILES SERDAN, TRAMO: DE CAMINO A SANTA TERESITA A LA CALLE COLIBRI, COLONIA SANTA TERESITA *.*</t>
  </si>
  <si>
    <t>JUMAPA-CELAYA-OP-2017-76</t>
  </si>
  <si>
    <t>RED DE DRENAJE EN LA CALLE VENUSTIANO CARRANZA, TRAMO: DE CAMINO A SANTA TERESA A 286.15M AL NORTE**</t>
  </si>
  <si>
    <t>JUMAPA-CELAYA-OP-2017-77</t>
  </si>
  <si>
    <t>REHABILITACION DEL COLECTOR SANITARIO Y AMPLIACION DE LAS RED DE ATARJEAS VARIAS CALLES ZONA SUR- PONIENTE, COMUNIDAD EL BECERRO ( SANTOS DEGOLLADO)</t>
  </si>
  <si>
    <t>JUMAPA-CELAYA-OP-2017-81</t>
  </si>
  <si>
    <t>RED DE DRENAJE SANITARIO DE LAS CALLES BENITO JUAREZ Y 5 DE MAYO COMUNIDAD EL SAUZ DE VILLASEÑOR**</t>
  </si>
  <si>
    <t>JUMAPA-CELAYA-OP-2017-82</t>
  </si>
  <si>
    <t>RED DE DRENAJE EN LA COLONIA PEDRO MARIA ANAYA ****</t>
  </si>
  <si>
    <t>JUMAPA-CELAYA-OP-2017-83</t>
  </si>
  <si>
    <t>LINEA DE CONDUCCION DEL CARCAMO  DE LAS COLONIAS PATRIA NUEVA Y PEDRO MARIA ANAYA AL COLECTOR CARRETERA ESTRADA**</t>
  </si>
  <si>
    <t>COMUNIDAD DE ESTRADA</t>
  </si>
  <si>
    <t>JUMAPA-CELAYA-OP-2017-84</t>
  </si>
  <si>
    <t>CONSTRUCCION DE BARDAS PERIMETRALES , MANTENIMIENTO DEL POZO PROFUNDO Y TANQUE ELEVADO QUE ABASTECE A LAS COLONIAS PEDRO MARIA ANAYA Y PATRIA NUEVA *.*</t>
  </si>
  <si>
    <t>COLONIAS PEDRO MARIA ANAYA Y PATRIA NUEVA</t>
  </si>
  <si>
    <t>JUMAPA-CELAYA-OP-2017-85</t>
  </si>
  <si>
    <t>COLECTOR SANITARIO PARA LAS COLONIAS PATRIA NUEVA Y PEDRO MARIA ANAYA *.**</t>
  </si>
  <si>
    <t>JUMAPA-CELAYA-OP-2017-86</t>
  </si>
  <si>
    <t>RED DE DRENAJE EN LA COLONIA PATRIA NUEVA *.*</t>
  </si>
  <si>
    <t>JUMAPA-CELAYA-OP-2017-87</t>
  </si>
  <si>
    <t>EQUIPAMIENTO ELECTROMECANICO Y CONSTRUCCIONES DEL CARCAMO DE BOMBEO PARA LAS COLONIAS PATRIA NUEVA Y PEDRO MARIA ANAYA ***</t>
  </si>
  <si>
    <t>Licitación Pública Nacional</t>
  </si>
  <si>
    <t>JUMAPA-CELAYA-OP-2017-88</t>
  </si>
  <si>
    <t>PLANTA DE TRATAMIENTO DE AGUAS RESIDUALES COMUNIDAD LA TRINIDAD°.*°</t>
  </si>
  <si>
    <t>NO</t>
  </si>
  <si>
    <t>INFORME DE APLICACIÓN DE RECURSOS DEUDA PÚBLICA</t>
  </si>
  <si>
    <t>CUENTA PÚBLICA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</si>
</sst>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d\ &quot;de&quot;\ mmmm\ &quot;de&quot;\ yyyy"/>
    <numFmt numFmtId="166" formatCode="_-[$€-2]* #,##0.00_-;\-[$€-2]* #,##0.00_-;_-[$€-2]* &quot;-&quot;??_-"/>
    <numFmt numFmtId="167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0" fillId="2" borderId="0" xfId="0" applyFill="1"/>
    <xf numFmtId="0" fontId="9" fillId="0" borderId="0" xfId="0" applyFont="1"/>
    <xf numFmtId="0" fontId="6" fillId="0" borderId="0" xfId="0" applyFont="1" applyBorder="1" applyAlignment="1">
      <alignment horizontal="center" vertical="center"/>
    </xf>
    <xf numFmtId="44" fontId="9" fillId="0" borderId="0" xfId="0" applyNumberFormat="1" applyFont="1"/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ont="1" applyFill="1"/>
    <xf numFmtId="1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4" fontId="13" fillId="0" borderId="1" xfId="38" applyFont="1" applyBorder="1" applyAlignment="1">
      <alignment vertical="center" wrapText="1"/>
    </xf>
    <xf numFmtId="43" fontId="11" fillId="0" borderId="1" xfId="1" applyFont="1" applyBorder="1" applyAlignment="1">
      <alignment vertical="center" wrapText="1"/>
    </xf>
    <xf numFmtId="9" fontId="11" fillId="0" borderId="1" xfId="2" applyNumberFormat="1" applyFont="1" applyBorder="1" applyAlignment="1">
      <alignment horizontal="center" vertical="center"/>
    </xf>
    <xf numFmtId="167" fontId="10" fillId="0" borderId="1" xfId="0" applyNumberFormat="1" applyFont="1" applyFill="1" applyBorder="1" applyAlignment="1">
      <alignment vertical="center"/>
    </xf>
    <xf numFmtId="167" fontId="10" fillId="0" borderId="3" xfId="0" applyNumberFormat="1" applyFont="1" applyFill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43" fontId="11" fillId="0" borderId="1" xfId="0" applyNumberFormat="1" applyFont="1" applyBorder="1"/>
    <xf numFmtId="43" fontId="11" fillId="0" borderId="1" xfId="1" applyFont="1" applyBorder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right" vertical="center"/>
    </xf>
    <xf numFmtId="0" fontId="11" fillId="0" borderId="3" xfId="0" applyFont="1" applyBorder="1"/>
    <xf numFmtId="43" fontId="10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1" fillId="0" borderId="1" xfId="0" applyFont="1" applyBorder="1"/>
    <xf numFmtId="43" fontId="11" fillId="0" borderId="1" xfId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2" borderId="1" xfId="0" applyFont="1" applyFill="1" applyBorder="1" applyAlignment="1">
      <alignment wrapText="1"/>
    </xf>
    <xf numFmtId="43" fontId="0" fillId="0" borderId="0" xfId="0" applyNumberFormat="1" applyFont="1"/>
    <xf numFmtId="43" fontId="10" fillId="2" borderId="1" xfId="2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right" vertical="center" wrapText="1"/>
    </xf>
    <xf numFmtId="43" fontId="11" fillId="2" borderId="1" xfId="1" applyFont="1" applyFill="1" applyBorder="1" applyAlignment="1">
      <alignment vertical="center"/>
    </xf>
    <xf numFmtId="0" fontId="11" fillId="2" borderId="1" xfId="0" applyFont="1" applyFill="1" applyBorder="1"/>
    <xf numFmtId="43" fontId="13" fillId="0" borderId="1" xfId="1" applyFont="1" applyBorder="1" applyAlignment="1">
      <alignment vertical="center" wrapText="1"/>
    </xf>
    <xf numFmtId="0" fontId="14" fillId="4" borderId="0" xfId="0" applyFont="1" applyFill="1"/>
    <xf numFmtId="0" fontId="15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9" fillId="2" borderId="0" xfId="0" applyFont="1" applyFill="1"/>
    <xf numFmtId="0" fontId="15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</cellXfs>
  <cellStyles count="39">
    <cellStyle name="Euro" xfId="4"/>
    <cellStyle name="Euro 2" xfId="5"/>
    <cellStyle name="Euro 2 2" xfId="6"/>
    <cellStyle name="Euro 3" xfId="7"/>
    <cellStyle name="Euro 3 2" xfId="8"/>
    <cellStyle name="Euro 4" xfId="9"/>
    <cellStyle name="Euro 4 2" xfId="10"/>
    <cellStyle name="Euro 5" xfId="11"/>
    <cellStyle name="Millares" xfId="1" builtinId="3"/>
    <cellStyle name="Millares 2" xfId="13"/>
    <cellStyle name="Millares 2 2" xfId="14"/>
    <cellStyle name="Millares 3" xfId="15"/>
    <cellStyle name="Millares 4" xfId="16"/>
    <cellStyle name="Millares 5" xfId="36"/>
    <cellStyle name="Millares 6" xfId="12"/>
    <cellStyle name="Moneda" xfId="38" builtinId="4"/>
    <cellStyle name="Moneda 2" xfId="18"/>
    <cellStyle name="Moneda 2 2" xfId="19"/>
    <cellStyle name="Moneda 3" xfId="20"/>
    <cellStyle name="Moneda 4" xfId="21"/>
    <cellStyle name="Moneda 5" xfId="35"/>
    <cellStyle name="Moneda 6" xfId="17"/>
    <cellStyle name="Normal" xfId="0" builtinId="0"/>
    <cellStyle name="Normal 2" xfId="22"/>
    <cellStyle name="Normal 2 2" xfId="23"/>
    <cellStyle name="Normal 2 2 2" xfId="24"/>
    <cellStyle name="Normal 3" xfId="25"/>
    <cellStyle name="Normal 4" xfId="26"/>
    <cellStyle name="Normal 5" xfId="27"/>
    <cellStyle name="Normal 6" xfId="28"/>
    <cellStyle name="Normal 7" xfId="34"/>
    <cellStyle name="Normal 8" xfId="3"/>
    <cellStyle name="Porcentaje" xfId="2" builtinId="5"/>
    <cellStyle name="Porcentaje 2" xfId="30"/>
    <cellStyle name="Porcentaje 3" xfId="31"/>
    <cellStyle name="Porcentaje 4" xfId="37"/>
    <cellStyle name="Porcentaje 5" xfId="29"/>
    <cellStyle name="Porcentual 2" xfId="32"/>
    <cellStyle name="Porcentual 2 2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4</xdr:col>
      <xdr:colOff>352425</xdr:colOff>
      <xdr:row>4</xdr:row>
      <xdr:rowOff>200025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61950"/>
          <a:ext cx="1676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666750</xdr:colOff>
      <xdr:row>1</xdr:row>
      <xdr:rowOff>180975</xdr:rowOff>
    </xdr:from>
    <xdr:to>
      <xdr:col>15</xdr:col>
      <xdr:colOff>1847850</xdr:colOff>
      <xdr:row>5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9150" y="276225"/>
          <a:ext cx="1181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1"/>
  <sheetViews>
    <sheetView tabSelected="1" topLeftCell="B1" workbookViewId="0">
      <pane xSplit="4" ySplit="10" topLeftCell="F83" activePane="bottomRight" state="frozen"/>
      <selection activeCell="B1" sqref="B1"/>
      <selection pane="topRight" activeCell="D1" sqref="D1"/>
      <selection pane="bottomLeft" activeCell="B10" sqref="B10"/>
      <selection pane="bottomRight" activeCell="B225" sqref="A225:XFD231"/>
    </sheetView>
  </sheetViews>
  <sheetFormatPr baseColWidth="10" defaultColWidth="11.42578125" defaultRowHeight="15"/>
  <cols>
    <col min="1" max="1" width="1.5703125" style="4" customWidth="1"/>
    <col min="2" max="2" width="4.140625" style="4" customWidth="1"/>
    <col min="3" max="3" width="6" style="15" hidden="1" customWidth="1"/>
    <col min="4" max="4" width="19.85546875" style="10" customWidth="1"/>
    <col min="5" max="5" width="33.28515625" style="4" customWidth="1"/>
    <col min="6" max="6" width="10.85546875" style="4" customWidth="1"/>
    <col min="7" max="7" width="13.85546875" style="4" customWidth="1"/>
    <col min="8" max="8" width="14" style="4" customWidth="1"/>
    <col min="9" max="9" width="14.140625" style="4" customWidth="1"/>
    <col min="10" max="10" width="13.28515625" style="4" customWidth="1"/>
    <col min="11" max="11" width="10.7109375" style="4" customWidth="1"/>
    <col min="12" max="12" width="11.7109375" style="4" customWidth="1"/>
    <col min="13" max="13" width="13.42578125" style="7" customWidth="1"/>
    <col min="14" max="14" width="5.85546875" style="4" customWidth="1"/>
    <col min="15" max="15" width="7" style="4" customWidth="1"/>
    <col min="16" max="16" width="33.7109375" style="4" customWidth="1"/>
    <col min="17" max="16384" width="11.42578125" style="4"/>
  </cols>
  <sheetData>
    <row r="1" spans="2:16" ht="7.5" customHeight="1">
      <c r="B1" s="6"/>
      <c r="C1" s="6"/>
      <c r="D1" s="60"/>
      <c r="E1" s="6"/>
      <c r="F1" s="6"/>
      <c r="G1" s="6"/>
      <c r="H1" s="6"/>
      <c r="I1" s="6"/>
      <c r="J1" s="6"/>
      <c r="K1" s="6"/>
      <c r="L1" s="6"/>
      <c r="M1" s="61"/>
      <c r="N1" s="6"/>
      <c r="O1" s="6"/>
      <c r="P1" s="6"/>
    </row>
    <row r="2" spans="2:16" ht="21" customHeight="1">
      <c r="B2" s="6"/>
      <c r="C2" s="6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21.75" customHeight="1">
      <c r="B3" s="6"/>
      <c r="C3" s="6"/>
      <c r="D3" s="64" t="s">
        <v>122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2:16" ht="18" customHeight="1">
      <c r="B4" s="6"/>
      <c r="C4" s="6"/>
      <c r="D4" s="64" t="s">
        <v>507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2:16" ht="18">
      <c r="B5" s="6"/>
      <c r="D5" s="64" t="s">
        <v>508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8">
      <c r="B6" s="6"/>
      <c r="D6" s="64" t="s">
        <v>286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>
      <c r="B7" s="6"/>
      <c r="D7" s="60"/>
      <c r="E7" s="6"/>
      <c r="F7" s="6"/>
      <c r="G7" s="6"/>
      <c r="H7" s="6"/>
      <c r="I7" s="6"/>
      <c r="J7" s="6"/>
      <c r="K7" s="6"/>
      <c r="L7" s="6"/>
      <c r="M7" s="61"/>
      <c r="N7" s="6"/>
      <c r="O7" s="6"/>
      <c r="P7" s="6"/>
    </row>
    <row r="8" spans="2:16" ht="5.25" customHeight="1">
      <c r="B8" s="6"/>
      <c r="D8" s="60"/>
      <c r="E8" s="6"/>
      <c r="F8" s="6"/>
      <c r="G8" s="6"/>
      <c r="H8" s="6"/>
      <c r="I8" s="6"/>
      <c r="J8" s="6"/>
      <c r="K8" s="6"/>
      <c r="L8" s="6"/>
      <c r="M8" s="61"/>
      <c r="N8" s="6"/>
      <c r="O8" s="6"/>
      <c r="P8" s="6"/>
    </row>
    <row r="9" spans="2:16" s="6" customFormat="1" ht="23.25" customHeight="1">
      <c r="B9" s="62" t="s">
        <v>506</v>
      </c>
      <c r="C9" s="56"/>
      <c r="D9" s="62" t="s">
        <v>0</v>
      </c>
      <c r="E9" s="65" t="s">
        <v>1</v>
      </c>
      <c r="F9" s="68" t="s">
        <v>6</v>
      </c>
      <c r="G9" s="72" t="s">
        <v>119</v>
      </c>
      <c r="H9" s="73"/>
      <c r="I9" s="73"/>
      <c r="J9" s="74"/>
      <c r="K9" s="66" t="s">
        <v>2</v>
      </c>
      <c r="L9" s="66" t="s">
        <v>3</v>
      </c>
      <c r="M9" s="70" t="s">
        <v>355</v>
      </c>
      <c r="N9" s="65" t="s">
        <v>4</v>
      </c>
      <c r="O9" s="65"/>
      <c r="P9" s="65" t="s">
        <v>5</v>
      </c>
    </row>
    <row r="10" spans="2:16" s="6" customFormat="1" ht="26.25" customHeight="1">
      <c r="B10" s="62"/>
      <c r="C10" s="56"/>
      <c r="D10" s="62"/>
      <c r="E10" s="65"/>
      <c r="F10" s="69"/>
      <c r="G10" s="57" t="s">
        <v>18</v>
      </c>
      <c r="H10" s="57" t="s">
        <v>121</v>
      </c>
      <c r="I10" s="58" t="s">
        <v>120</v>
      </c>
      <c r="J10" s="58" t="s">
        <v>132</v>
      </c>
      <c r="K10" s="67"/>
      <c r="L10" s="67"/>
      <c r="M10" s="71"/>
      <c r="N10" s="59" t="s">
        <v>7</v>
      </c>
      <c r="O10" s="59" t="s">
        <v>8</v>
      </c>
      <c r="P10" s="65"/>
    </row>
    <row r="11" spans="2:16">
      <c r="D11" s="11"/>
      <c r="E11" s="5"/>
      <c r="F11" s="1"/>
      <c r="G11" s="1"/>
      <c r="H11" s="1"/>
      <c r="I11" s="3"/>
      <c r="J11" s="3"/>
      <c r="K11" s="1"/>
      <c r="L11" s="1"/>
      <c r="M11" s="8"/>
      <c r="N11" s="2"/>
      <c r="O11" s="2"/>
      <c r="P11" s="2"/>
    </row>
    <row r="12" spans="2:16" s="12" customFormat="1" ht="24">
      <c r="B12" s="13">
        <v>1</v>
      </c>
      <c r="C12" s="14"/>
      <c r="D12" s="19" t="s">
        <v>10</v>
      </c>
      <c r="E12" s="20" t="s">
        <v>22</v>
      </c>
      <c r="F12" s="21" t="s">
        <v>14</v>
      </c>
      <c r="G12" s="55">
        <f t="shared" ref="G12:G56" si="0">SUM(H12:J12)</f>
        <v>6114039.6699999999</v>
      </c>
      <c r="H12" s="28">
        <v>3004039.67</v>
      </c>
      <c r="I12" s="28">
        <v>3110000</v>
      </c>
      <c r="J12" s="28"/>
      <c r="K12" s="17">
        <v>42467</v>
      </c>
      <c r="L12" s="17">
        <v>42947</v>
      </c>
      <c r="M12" s="51">
        <v>3110000</v>
      </c>
      <c r="N12" s="29">
        <v>1</v>
      </c>
      <c r="O12" s="29">
        <f>+M12/I12</f>
        <v>1</v>
      </c>
      <c r="P12" s="18" t="s">
        <v>9</v>
      </c>
    </row>
    <row r="13" spans="2:16" s="12" customFormat="1" ht="36">
      <c r="B13" s="13">
        <f>+B12+1</f>
        <v>2</v>
      </c>
      <c r="C13" s="14"/>
      <c r="D13" s="19" t="s">
        <v>11</v>
      </c>
      <c r="E13" s="20" t="s">
        <v>21</v>
      </c>
      <c r="F13" s="21" t="s">
        <v>15</v>
      </c>
      <c r="G13" s="55">
        <f t="shared" si="0"/>
        <v>3231059.1799999997</v>
      </c>
      <c r="H13" s="28">
        <v>1339212.92</v>
      </c>
      <c r="I13" s="28">
        <v>1891846.26</v>
      </c>
      <c r="J13" s="28"/>
      <c r="K13" s="17">
        <v>42517</v>
      </c>
      <c r="L13" s="17">
        <v>42666</v>
      </c>
      <c r="M13" s="51">
        <v>1891846.26</v>
      </c>
      <c r="N13" s="29">
        <v>1</v>
      </c>
      <c r="O13" s="29">
        <f t="shared" ref="O13:O76" si="1">+M13/I13</f>
        <v>1</v>
      </c>
      <c r="P13" s="18" t="s">
        <v>9</v>
      </c>
    </row>
    <row r="14" spans="2:16" s="12" customFormat="1" ht="24">
      <c r="B14" s="13">
        <f t="shared" ref="B14:B77" si="2">+B13+1</f>
        <v>3</v>
      </c>
      <c r="C14" s="14"/>
      <c r="D14" s="19" t="s">
        <v>12</v>
      </c>
      <c r="E14" s="20" t="s">
        <v>20</v>
      </c>
      <c r="F14" s="22" t="s">
        <v>16</v>
      </c>
      <c r="G14" s="55">
        <f t="shared" si="0"/>
        <v>3279743.1399999997</v>
      </c>
      <c r="H14" s="28">
        <v>1951114.14</v>
      </c>
      <c r="I14" s="28">
        <v>1328629</v>
      </c>
      <c r="J14" s="28"/>
      <c r="K14" s="17">
        <v>42492</v>
      </c>
      <c r="L14" s="17">
        <v>42674</v>
      </c>
      <c r="M14" s="51">
        <v>1328629</v>
      </c>
      <c r="N14" s="29">
        <v>1</v>
      </c>
      <c r="O14" s="29">
        <f t="shared" si="1"/>
        <v>1</v>
      </c>
      <c r="P14" s="18" t="s">
        <v>9</v>
      </c>
    </row>
    <row r="15" spans="2:16" s="12" customFormat="1" ht="24">
      <c r="B15" s="13">
        <f t="shared" si="2"/>
        <v>4</v>
      </c>
      <c r="C15" s="14"/>
      <c r="D15" s="19" t="s">
        <v>13</v>
      </c>
      <c r="E15" s="20" t="s">
        <v>19</v>
      </c>
      <c r="F15" s="21" t="s">
        <v>17</v>
      </c>
      <c r="G15" s="55">
        <f t="shared" si="0"/>
        <v>3641170.83</v>
      </c>
      <c r="H15" s="28">
        <v>1714705.75</v>
      </c>
      <c r="I15" s="28">
        <v>1926465.08</v>
      </c>
      <c r="J15" s="28"/>
      <c r="K15" s="17">
        <v>42492</v>
      </c>
      <c r="L15" s="17">
        <v>42656</v>
      </c>
      <c r="M15" s="51">
        <v>1926465.08</v>
      </c>
      <c r="N15" s="29">
        <v>1</v>
      </c>
      <c r="O15" s="29">
        <f t="shared" si="1"/>
        <v>1</v>
      </c>
      <c r="P15" s="18" t="s">
        <v>9</v>
      </c>
    </row>
    <row r="16" spans="2:16" s="12" customFormat="1" ht="36">
      <c r="B16" s="13">
        <f t="shared" si="2"/>
        <v>5</v>
      </c>
      <c r="C16" s="14"/>
      <c r="D16" s="19" t="s">
        <v>25</v>
      </c>
      <c r="E16" s="20" t="s">
        <v>26</v>
      </c>
      <c r="F16" s="21" t="s">
        <v>27</v>
      </c>
      <c r="G16" s="55">
        <f t="shared" si="0"/>
        <v>548067.72</v>
      </c>
      <c r="H16" s="28">
        <v>274035.36</v>
      </c>
      <c r="I16" s="28">
        <v>274032.36</v>
      </c>
      <c r="J16" s="28"/>
      <c r="K16" s="17">
        <v>42706</v>
      </c>
      <c r="L16" s="17">
        <v>42810</v>
      </c>
      <c r="M16" s="51">
        <v>273663.94000000006</v>
      </c>
      <c r="N16" s="29">
        <v>1</v>
      </c>
      <c r="O16" s="29">
        <f t="shared" si="1"/>
        <v>0.99865556024113389</v>
      </c>
      <c r="P16" s="18" t="s">
        <v>23</v>
      </c>
    </row>
    <row r="17" spans="2:16" s="12" customFormat="1" ht="24">
      <c r="B17" s="13">
        <f t="shared" si="2"/>
        <v>6</v>
      </c>
      <c r="C17" s="14"/>
      <c r="D17" s="19" t="s">
        <v>28</v>
      </c>
      <c r="E17" s="20" t="s">
        <v>37</v>
      </c>
      <c r="F17" s="21" t="s">
        <v>14</v>
      </c>
      <c r="G17" s="55">
        <f t="shared" si="0"/>
        <v>1589812.48</v>
      </c>
      <c r="H17" s="28">
        <v>794906.24</v>
      </c>
      <c r="I17" s="28">
        <v>794906.24</v>
      </c>
      <c r="J17" s="28"/>
      <c r="K17" s="17">
        <v>42705</v>
      </c>
      <c r="L17" s="17">
        <v>42846</v>
      </c>
      <c r="M17" s="51">
        <v>794906.24</v>
      </c>
      <c r="N17" s="29">
        <v>1</v>
      </c>
      <c r="O17" s="29">
        <f t="shared" si="1"/>
        <v>1</v>
      </c>
      <c r="P17" s="18" t="s">
        <v>9</v>
      </c>
    </row>
    <row r="18" spans="2:16" s="12" customFormat="1" ht="24">
      <c r="B18" s="13">
        <f t="shared" si="2"/>
        <v>7</v>
      </c>
      <c r="C18" s="14"/>
      <c r="D18" s="19" t="s">
        <v>29</v>
      </c>
      <c r="E18" s="20" t="s">
        <v>38</v>
      </c>
      <c r="F18" s="21" t="s">
        <v>46</v>
      </c>
      <c r="G18" s="55">
        <f t="shared" si="0"/>
        <v>1674556.69</v>
      </c>
      <c r="H18" s="28">
        <v>814688.7</v>
      </c>
      <c r="I18" s="28">
        <v>859867.99</v>
      </c>
      <c r="J18" s="28"/>
      <c r="K18" s="17">
        <v>42705</v>
      </c>
      <c r="L18" s="17">
        <v>42824</v>
      </c>
      <c r="M18" s="51">
        <v>859867.99</v>
      </c>
      <c r="N18" s="29">
        <v>1</v>
      </c>
      <c r="O18" s="29">
        <f t="shared" si="1"/>
        <v>1</v>
      </c>
      <c r="P18" s="18" t="s">
        <v>9</v>
      </c>
    </row>
    <row r="19" spans="2:16" s="12" customFormat="1" ht="36">
      <c r="B19" s="13">
        <f t="shared" si="2"/>
        <v>8</v>
      </c>
      <c r="C19" s="14"/>
      <c r="D19" s="19" t="s">
        <v>30</v>
      </c>
      <c r="E19" s="20" t="s">
        <v>39</v>
      </c>
      <c r="F19" s="21" t="s">
        <v>14</v>
      </c>
      <c r="G19" s="55">
        <f t="shared" si="0"/>
        <v>2030904.58</v>
      </c>
      <c r="H19" s="28">
        <v>419991.07</v>
      </c>
      <c r="I19" s="28">
        <v>1610913.51</v>
      </c>
      <c r="J19" s="28"/>
      <c r="K19" s="17">
        <v>42705</v>
      </c>
      <c r="L19" s="17">
        <v>42824</v>
      </c>
      <c r="M19" s="51">
        <v>1610913.5099999998</v>
      </c>
      <c r="N19" s="29">
        <v>1</v>
      </c>
      <c r="O19" s="29">
        <f t="shared" si="1"/>
        <v>0.99999999999999989</v>
      </c>
      <c r="P19" s="18" t="s">
        <v>9</v>
      </c>
    </row>
    <row r="20" spans="2:16" s="12" customFormat="1" ht="36">
      <c r="B20" s="13">
        <f t="shared" si="2"/>
        <v>9</v>
      </c>
      <c r="C20" s="14"/>
      <c r="D20" s="19" t="s">
        <v>31</v>
      </c>
      <c r="E20" s="20" t="s">
        <v>40</v>
      </c>
      <c r="F20" s="21" t="s">
        <v>47</v>
      </c>
      <c r="G20" s="55">
        <f t="shared" si="0"/>
        <v>4972852.09</v>
      </c>
      <c r="H20" s="28">
        <v>2486426.04</v>
      </c>
      <c r="I20" s="28">
        <v>2486426.0499999998</v>
      </c>
      <c r="J20" s="28"/>
      <c r="K20" s="17">
        <v>42705</v>
      </c>
      <c r="L20" s="17" t="s">
        <v>356</v>
      </c>
      <c r="M20" s="51">
        <v>2171968.5</v>
      </c>
      <c r="N20" s="29">
        <v>0.85</v>
      </c>
      <c r="O20" s="29">
        <f t="shared" si="1"/>
        <v>0.87353030266072063</v>
      </c>
      <c r="P20" s="18" t="s">
        <v>9</v>
      </c>
    </row>
    <row r="21" spans="2:16" s="12" customFormat="1" ht="36">
      <c r="B21" s="13">
        <f t="shared" si="2"/>
        <v>10</v>
      </c>
      <c r="C21" s="14"/>
      <c r="D21" s="19" t="s">
        <v>32</v>
      </c>
      <c r="E21" s="20" t="s">
        <v>41</v>
      </c>
      <c r="F21" s="21" t="s">
        <v>15</v>
      </c>
      <c r="G21" s="55">
        <f t="shared" si="0"/>
        <v>6722097.4700000007</v>
      </c>
      <c r="H21" s="28">
        <v>3361048.73</v>
      </c>
      <c r="I21" s="28">
        <v>3361048.74</v>
      </c>
      <c r="J21" s="28"/>
      <c r="K21" s="17">
        <v>42705</v>
      </c>
      <c r="L21" s="17">
        <v>42890</v>
      </c>
      <c r="M21" s="51">
        <v>3361048.74</v>
      </c>
      <c r="N21" s="29">
        <v>1</v>
      </c>
      <c r="O21" s="29">
        <f t="shared" si="1"/>
        <v>1</v>
      </c>
      <c r="P21" s="18" t="s">
        <v>9</v>
      </c>
    </row>
    <row r="22" spans="2:16" s="12" customFormat="1" ht="24">
      <c r="B22" s="13">
        <f t="shared" si="2"/>
        <v>11</v>
      </c>
      <c r="C22" s="14"/>
      <c r="D22" s="19" t="s">
        <v>33</v>
      </c>
      <c r="E22" s="20" t="s">
        <v>42</v>
      </c>
      <c r="F22" s="21" t="s">
        <v>14</v>
      </c>
      <c r="G22" s="55">
        <f t="shared" si="0"/>
        <v>4217788.29</v>
      </c>
      <c r="H22" s="28">
        <v>2108894.14</v>
      </c>
      <c r="I22" s="28">
        <v>2108894.15</v>
      </c>
      <c r="J22" s="28"/>
      <c r="K22" s="17">
        <v>42705</v>
      </c>
      <c r="L22" s="17">
        <v>42948</v>
      </c>
      <c r="M22" s="51">
        <v>1688609.2300000002</v>
      </c>
      <c r="N22" s="29">
        <v>0.78</v>
      </c>
      <c r="O22" s="29">
        <f t="shared" si="1"/>
        <v>0.80070838548250522</v>
      </c>
      <c r="P22" s="18" t="s">
        <v>9</v>
      </c>
    </row>
    <row r="23" spans="2:16" s="12" customFormat="1" ht="36">
      <c r="B23" s="13">
        <f t="shared" si="2"/>
        <v>12</v>
      </c>
      <c r="C23" s="14"/>
      <c r="D23" s="19" t="s">
        <v>34</v>
      </c>
      <c r="E23" s="20" t="s">
        <v>43</v>
      </c>
      <c r="F23" s="21" t="s">
        <v>14</v>
      </c>
      <c r="G23" s="55">
        <f>SUM(H23:J23)</f>
        <v>4434806.57</v>
      </c>
      <c r="H23" s="28">
        <v>2217403.2799999998</v>
      </c>
      <c r="I23" s="28">
        <v>2217403.29</v>
      </c>
      <c r="J23" s="28"/>
      <c r="K23" s="17">
        <v>42705</v>
      </c>
      <c r="L23" s="17">
        <v>42824</v>
      </c>
      <c r="M23" s="51">
        <v>2217403.29</v>
      </c>
      <c r="N23" s="29">
        <v>1</v>
      </c>
      <c r="O23" s="29">
        <f t="shared" si="1"/>
        <v>1</v>
      </c>
      <c r="P23" s="18" t="s">
        <v>9</v>
      </c>
    </row>
    <row r="24" spans="2:16" s="12" customFormat="1" ht="72">
      <c r="B24" s="13">
        <f t="shared" si="2"/>
        <v>13</v>
      </c>
      <c r="C24" s="14"/>
      <c r="D24" s="19" t="s">
        <v>35</v>
      </c>
      <c r="E24" s="20" t="s">
        <v>44</v>
      </c>
      <c r="F24" s="21" t="s">
        <v>24</v>
      </c>
      <c r="G24" s="55">
        <f t="shared" si="0"/>
        <v>2938032.71</v>
      </c>
      <c r="H24" s="28">
        <v>2938032.71</v>
      </c>
      <c r="I24" s="28">
        <v>0</v>
      </c>
      <c r="J24" s="28"/>
      <c r="K24" s="17">
        <v>42705</v>
      </c>
      <c r="L24" s="17">
        <v>42849</v>
      </c>
      <c r="M24" s="51"/>
      <c r="N24" s="29">
        <v>1</v>
      </c>
      <c r="O24" s="29">
        <v>0</v>
      </c>
      <c r="P24" s="18" t="s">
        <v>9</v>
      </c>
    </row>
    <row r="25" spans="2:16" s="12" customFormat="1" ht="60">
      <c r="B25" s="13">
        <f t="shared" si="2"/>
        <v>14</v>
      </c>
      <c r="C25" s="14"/>
      <c r="D25" s="19" t="s">
        <v>36</v>
      </c>
      <c r="E25" s="20" t="s">
        <v>45</v>
      </c>
      <c r="F25" s="21" t="s">
        <v>48</v>
      </c>
      <c r="G25" s="55">
        <f t="shared" si="0"/>
        <v>1528567.33</v>
      </c>
      <c r="H25" s="28">
        <v>1528567.33</v>
      </c>
      <c r="I25" s="28">
        <v>0</v>
      </c>
      <c r="J25" s="28"/>
      <c r="K25" s="17">
        <v>42717</v>
      </c>
      <c r="L25" s="17">
        <v>42864</v>
      </c>
      <c r="M25" s="51"/>
      <c r="N25" s="29">
        <v>1</v>
      </c>
      <c r="O25" s="29">
        <v>0</v>
      </c>
      <c r="P25" s="18" t="s">
        <v>9</v>
      </c>
    </row>
    <row r="26" spans="2:16" s="12" customFormat="1" ht="48">
      <c r="B26" s="13">
        <f t="shared" si="2"/>
        <v>15</v>
      </c>
      <c r="C26" s="14"/>
      <c r="D26" s="19" t="s">
        <v>109</v>
      </c>
      <c r="E26" s="20" t="s">
        <v>110</v>
      </c>
      <c r="F26" s="21" t="s">
        <v>17</v>
      </c>
      <c r="G26" s="55">
        <f t="shared" si="0"/>
        <v>289712.19</v>
      </c>
      <c r="H26" s="28">
        <v>202712.19</v>
      </c>
      <c r="I26" s="28">
        <v>87000</v>
      </c>
      <c r="J26" s="28"/>
      <c r="K26" s="17">
        <v>41241</v>
      </c>
      <c r="L26" s="17">
        <v>42776</v>
      </c>
      <c r="M26" s="51">
        <v>79160.31</v>
      </c>
      <c r="N26" s="29">
        <v>0.95</v>
      </c>
      <c r="O26" s="29">
        <f t="shared" si="1"/>
        <v>0.90988862068965515</v>
      </c>
      <c r="P26" s="18" t="s">
        <v>23</v>
      </c>
    </row>
    <row r="27" spans="2:16" s="12" customFormat="1" ht="24">
      <c r="B27" s="13">
        <f t="shared" si="2"/>
        <v>16</v>
      </c>
      <c r="C27" s="14"/>
      <c r="D27" s="19" t="s">
        <v>49</v>
      </c>
      <c r="E27" s="20" t="s">
        <v>90</v>
      </c>
      <c r="F27" s="21" t="s">
        <v>27</v>
      </c>
      <c r="G27" s="55">
        <f t="shared" si="0"/>
        <v>925834.22</v>
      </c>
      <c r="H27" s="28">
        <v>462917.11</v>
      </c>
      <c r="I27" s="28">
        <v>462917.11</v>
      </c>
      <c r="J27" s="28"/>
      <c r="K27" s="17">
        <v>42710</v>
      </c>
      <c r="L27" s="17">
        <v>42814</v>
      </c>
      <c r="M27" s="51">
        <v>209469.94</v>
      </c>
      <c r="N27" s="29">
        <v>0.5</v>
      </c>
      <c r="O27" s="29">
        <f t="shared" si="1"/>
        <v>0.45249988707481564</v>
      </c>
      <c r="P27" s="18" t="s">
        <v>23</v>
      </c>
    </row>
    <row r="28" spans="2:16" s="12" customFormat="1" ht="36">
      <c r="B28" s="13">
        <f t="shared" si="2"/>
        <v>17</v>
      </c>
      <c r="C28" s="14"/>
      <c r="D28" s="19" t="s">
        <v>50</v>
      </c>
      <c r="E28" s="20" t="s">
        <v>67</v>
      </c>
      <c r="F28" s="21" t="s">
        <v>88</v>
      </c>
      <c r="G28" s="55">
        <f t="shared" si="0"/>
        <v>2816700.6199999996</v>
      </c>
      <c r="H28" s="28">
        <f>1418447.88-10097.57</f>
        <v>1408350.3099999998</v>
      </c>
      <c r="I28" s="28">
        <f>1418447.89-10097.58</f>
        <v>1408350.3099999998</v>
      </c>
      <c r="J28" s="28"/>
      <c r="K28" s="17">
        <v>42724</v>
      </c>
      <c r="L28" s="17">
        <v>42863</v>
      </c>
      <c r="M28" s="51">
        <v>1408350.3199999998</v>
      </c>
      <c r="N28" s="29">
        <v>1</v>
      </c>
      <c r="O28" s="29">
        <f t="shared" si="1"/>
        <v>1.0000000071005062</v>
      </c>
      <c r="P28" s="18" t="s">
        <v>9</v>
      </c>
    </row>
    <row r="29" spans="2:16" s="12" customFormat="1" ht="24">
      <c r="B29" s="13">
        <f t="shared" si="2"/>
        <v>18</v>
      </c>
      <c r="C29" s="14"/>
      <c r="D29" s="19" t="s">
        <v>51</v>
      </c>
      <c r="E29" s="20" t="s">
        <v>68</v>
      </c>
      <c r="F29" s="21" t="s">
        <v>89</v>
      </c>
      <c r="G29" s="55">
        <f t="shared" si="0"/>
        <v>2238269.5799999996</v>
      </c>
      <c r="H29" s="28">
        <v>44031.53</v>
      </c>
      <c r="I29" s="28">
        <v>2194238.0499999998</v>
      </c>
      <c r="J29" s="28"/>
      <c r="K29" s="17">
        <v>42727</v>
      </c>
      <c r="L29" s="17">
        <v>42939</v>
      </c>
      <c r="M29" s="51">
        <v>2154073.63</v>
      </c>
      <c r="N29" s="29">
        <v>1</v>
      </c>
      <c r="O29" s="29">
        <f t="shared" si="1"/>
        <v>0.9816955047334085</v>
      </c>
      <c r="P29" s="18" t="s">
        <v>9</v>
      </c>
    </row>
    <row r="30" spans="2:16" s="12" customFormat="1" ht="24">
      <c r="B30" s="13">
        <f t="shared" si="2"/>
        <v>19</v>
      </c>
      <c r="C30" s="14"/>
      <c r="D30" s="19" t="s">
        <v>52</v>
      </c>
      <c r="E30" s="20" t="s">
        <v>69</v>
      </c>
      <c r="F30" s="21" t="s">
        <v>70</v>
      </c>
      <c r="G30" s="55">
        <f t="shared" si="0"/>
        <v>2051986.1800000002</v>
      </c>
      <c r="H30" s="28">
        <v>602158.06999999995</v>
      </c>
      <c r="I30" s="28">
        <v>1449828.11</v>
      </c>
      <c r="J30" s="28"/>
      <c r="K30" s="17">
        <v>42724</v>
      </c>
      <c r="L30" s="17">
        <v>42856</v>
      </c>
      <c r="M30" s="51">
        <v>1449828.1099999999</v>
      </c>
      <c r="N30" s="29">
        <v>1</v>
      </c>
      <c r="O30" s="29">
        <f t="shared" si="1"/>
        <v>0.99999999999999989</v>
      </c>
      <c r="P30" s="18" t="s">
        <v>9</v>
      </c>
    </row>
    <row r="31" spans="2:16" s="12" customFormat="1" ht="24">
      <c r="B31" s="13">
        <f t="shared" si="2"/>
        <v>20</v>
      </c>
      <c r="C31" s="14"/>
      <c r="D31" s="19" t="s">
        <v>53</v>
      </c>
      <c r="E31" s="20" t="s">
        <v>71</v>
      </c>
      <c r="F31" s="21" t="s">
        <v>72</v>
      </c>
      <c r="G31" s="55">
        <f t="shared" si="0"/>
        <v>3053003.4000000004</v>
      </c>
      <c r="H31" s="28">
        <f>1611143.32-84641.62</f>
        <v>1526501.7000000002</v>
      </c>
      <c r="I31" s="28">
        <f>1611143.32-84641.62</f>
        <v>1526501.7000000002</v>
      </c>
      <c r="J31" s="28"/>
      <c r="K31" s="17">
        <v>42751</v>
      </c>
      <c r="L31" s="17">
        <v>42901</v>
      </c>
      <c r="M31" s="51">
        <v>1526501.7000000002</v>
      </c>
      <c r="N31" s="29">
        <v>1</v>
      </c>
      <c r="O31" s="29">
        <f t="shared" si="1"/>
        <v>1</v>
      </c>
      <c r="P31" s="18" t="s">
        <v>9</v>
      </c>
    </row>
    <row r="32" spans="2:16" s="12" customFormat="1" ht="24">
      <c r="B32" s="13">
        <f t="shared" si="2"/>
        <v>21</v>
      </c>
      <c r="C32" s="14"/>
      <c r="D32" s="19" t="s">
        <v>54</v>
      </c>
      <c r="E32" s="20" t="s">
        <v>73</v>
      </c>
      <c r="F32" s="21" t="s">
        <v>46</v>
      </c>
      <c r="G32" s="55">
        <f t="shared" si="0"/>
        <v>2265371.79</v>
      </c>
      <c r="H32" s="28">
        <v>2211897.4300000002</v>
      </c>
      <c r="I32" s="28">
        <v>53474.36</v>
      </c>
      <c r="J32" s="28"/>
      <c r="K32" s="17">
        <v>42744</v>
      </c>
      <c r="L32" s="17">
        <v>42863</v>
      </c>
      <c r="M32" s="51">
        <v>53474.36</v>
      </c>
      <c r="N32" s="29">
        <v>1</v>
      </c>
      <c r="O32" s="29">
        <f t="shared" si="1"/>
        <v>1</v>
      </c>
      <c r="P32" s="18" t="s">
        <v>9</v>
      </c>
    </row>
    <row r="33" spans="2:16" s="12" customFormat="1" ht="24">
      <c r="B33" s="13">
        <f t="shared" si="2"/>
        <v>22</v>
      </c>
      <c r="C33" s="14"/>
      <c r="D33" s="19" t="s">
        <v>55</v>
      </c>
      <c r="E33" s="20" t="s">
        <v>74</v>
      </c>
      <c r="F33" s="21" t="s">
        <v>14</v>
      </c>
      <c r="G33" s="55">
        <f t="shared" si="0"/>
        <v>1191862.3499999999</v>
      </c>
      <c r="H33" s="28">
        <f>687195.2-91264.02</f>
        <v>595931.17999999993</v>
      </c>
      <c r="I33" s="28">
        <f>687195.2-91264.03</f>
        <v>595931.16999999993</v>
      </c>
      <c r="J33" s="28"/>
      <c r="K33" s="17">
        <v>42724</v>
      </c>
      <c r="L33" s="17">
        <v>42858</v>
      </c>
      <c r="M33" s="51">
        <v>595931.17000000004</v>
      </c>
      <c r="N33" s="29">
        <v>1</v>
      </c>
      <c r="O33" s="29">
        <f t="shared" si="1"/>
        <v>1.0000000000000002</v>
      </c>
      <c r="P33" s="18" t="s">
        <v>9</v>
      </c>
    </row>
    <row r="34" spans="2:16" s="12" customFormat="1" ht="24">
      <c r="B34" s="13">
        <f t="shared" si="2"/>
        <v>23</v>
      </c>
      <c r="C34" s="14"/>
      <c r="D34" s="19" t="s">
        <v>56</v>
      </c>
      <c r="E34" s="20" t="s">
        <v>71</v>
      </c>
      <c r="F34" s="21" t="s">
        <v>75</v>
      </c>
      <c r="G34" s="55">
        <f t="shared" si="0"/>
        <v>1221160.18</v>
      </c>
      <c r="H34" s="28">
        <f>639523.49-28943.4</f>
        <v>610580.09</v>
      </c>
      <c r="I34" s="28">
        <f>639523.49-28943.4</f>
        <v>610580.09</v>
      </c>
      <c r="J34" s="28"/>
      <c r="K34" s="17">
        <v>42730</v>
      </c>
      <c r="L34" s="17">
        <v>42849</v>
      </c>
      <c r="M34" s="51">
        <v>526273.1</v>
      </c>
      <c r="N34" s="29">
        <v>0.85</v>
      </c>
      <c r="O34" s="29">
        <f t="shared" si="1"/>
        <v>0.86192312625195489</v>
      </c>
      <c r="P34" s="18" t="s">
        <v>9</v>
      </c>
    </row>
    <row r="35" spans="2:16" s="12" customFormat="1">
      <c r="B35" s="13">
        <f t="shared" si="2"/>
        <v>24</v>
      </c>
      <c r="C35" s="14"/>
      <c r="D35" s="19" t="s">
        <v>57</v>
      </c>
      <c r="E35" s="20" t="s">
        <v>76</v>
      </c>
      <c r="F35" s="21" t="s">
        <v>77</v>
      </c>
      <c r="G35" s="55">
        <f t="shared" si="0"/>
        <v>3940684.86</v>
      </c>
      <c r="H35" s="28">
        <f>2066480.99-96138.56</f>
        <v>1970342.43</v>
      </c>
      <c r="I35" s="28">
        <f>2066480.99-96138.56</f>
        <v>1970342.43</v>
      </c>
      <c r="J35" s="28"/>
      <c r="K35" s="17">
        <v>42737</v>
      </c>
      <c r="L35" s="17">
        <v>42888</v>
      </c>
      <c r="M35" s="51">
        <v>1970342.44</v>
      </c>
      <c r="N35" s="29">
        <v>1</v>
      </c>
      <c r="O35" s="29">
        <f t="shared" si="1"/>
        <v>1.00000000507526</v>
      </c>
      <c r="P35" s="18" t="s">
        <v>9</v>
      </c>
    </row>
    <row r="36" spans="2:16" s="12" customFormat="1" ht="24">
      <c r="B36" s="13">
        <f t="shared" si="2"/>
        <v>25</v>
      </c>
      <c r="C36" s="14"/>
      <c r="D36" s="19" t="s">
        <v>58</v>
      </c>
      <c r="E36" s="20" t="s">
        <v>78</v>
      </c>
      <c r="F36" s="21" t="s">
        <v>47</v>
      </c>
      <c r="G36" s="55">
        <f t="shared" si="0"/>
        <v>4497083.0600000005</v>
      </c>
      <c r="H36" s="28">
        <v>682668.67</v>
      </c>
      <c r="I36" s="28">
        <v>3814414.39</v>
      </c>
      <c r="J36" s="28"/>
      <c r="K36" s="17">
        <v>42734</v>
      </c>
      <c r="L36" s="17">
        <v>42902</v>
      </c>
      <c r="M36" s="51">
        <v>2952224.1399999997</v>
      </c>
      <c r="N36" s="29">
        <v>0.9</v>
      </c>
      <c r="O36" s="29">
        <f t="shared" si="1"/>
        <v>0.77396523768881853</v>
      </c>
      <c r="P36" s="18" t="s">
        <v>9</v>
      </c>
    </row>
    <row r="37" spans="2:16" s="12" customFormat="1" ht="24">
      <c r="B37" s="13">
        <f t="shared" si="2"/>
        <v>26</v>
      </c>
      <c r="C37" s="14"/>
      <c r="D37" s="19" t="s">
        <v>59</v>
      </c>
      <c r="E37" s="20" t="s">
        <v>79</v>
      </c>
      <c r="F37" s="21" t="s">
        <v>72</v>
      </c>
      <c r="G37" s="55">
        <f t="shared" si="0"/>
        <v>4995752.5599999996</v>
      </c>
      <c r="H37" s="28">
        <v>2497876.2799999998</v>
      </c>
      <c r="I37" s="28">
        <v>2497876.2799999998</v>
      </c>
      <c r="J37" s="28"/>
      <c r="K37" s="17">
        <v>42723</v>
      </c>
      <c r="L37" s="17">
        <v>42842</v>
      </c>
      <c r="M37" s="51">
        <v>2497876.2799999998</v>
      </c>
      <c r="N37" s="29">
        <v>1</v>
      </c>
      <c r="O37" s="29">
        <f t="shared" si="1"/>
        <v>1</v>
      </c>
      <c r="P37" s="18" t="s">
        <v>9</v>
      </c>
    </row>
    <row r="38" spans="2:16" s="12" customFormat="1" ht="24">
      <c r="B38" s="13">
        <f t="shared" si="2"/>
        <v>27</v>
      </c>
      <c r="C38" s="14"/>
      <c r="D38" s="19" t="s">
        <v>60</v>
      </c>
      <c r="E38" s="20" t="s">
        <v>80</v>
      </c>
      <c r="F38" s="21" t="s">
        <v>14</v>
      </c>
      <c r="G38" s="55">
        <f t="shared" si="0"/>
        <v>4165133.7800000003</v>
      </c>
      <c r="H38" s="28">
        <f>1919756.37-82597.44</f>
        <v>1837158.9300000002</v>
      </c>
      <c r="I38" s="28">
        <f>2433098.87-105124.02</f>
        <v>2327974.85</v>
      </c>
      <c r="J38" s="28"/>
      <c r="K38" s="17">
        <v>42723</v>
      </c>
      <c r="L38" s="17">
        <v>42872</v>
      </c>
      <c r="M38" s="51">
        <v>2328309.7799999998</v>
      </c>
      <c r="N38" s="29">
        <v>1</v>
      </c>
      <c r="O38" s="29">
        <f t="shared" si="1"/>
        <v>1.0001438718291995</v>
      </c>
      <c r="P38" s="18" t="s">
        <v>9</v>
      </c>
    </row>
    <row r="39" spans="2:16" s="12" customFormat="1" ht="36">
      <c r="B39" s="13">
        <f t="shared" si="2"/>
        <v>28</v>
      </c>
      <c r="C39" s="14"/>
      <c r="D39" s="19" t="s">
        <v>61</v>
      </c>
      <c r="E39" s="20" t="s">
        <v>81</v>
      </c>
      <c r="F39" s="21" t="s">
        <v>14</v>
      </c>
      <c r="G39" s="55">
        <f t="shared" si="0"/>
        <v>1663903.97</v>
      </c>
      <c r="H39" s="28">
        <v>831951.98</v>
      </c>
      <c r="I39" s="28">
        <v>831951.99</v>
      </c>
      <c r="J39" s="28"/>
      <c r="K39" s="17">
        <v>42723</v>
      </c>
      <c r="L39" s="17">
        <v>42842</v>
      </c>
      <c r="M39" s="51">
        <v>831951.99</v>
      </c>
      <c r="N39" s="29">
        <v>1</v>
      </c>
      <c r="O39" s="29">
        <f t="shared" si="1"/>
        <v>1</v>
      </c>
      <c r="P39" s="18" t="s">
        <v>9</v>
      </c>
    </row>
    <row r="40" spans="2:16" s="12" customFormat="1" ht="24">
      <c r="B40" s="13">
        <f t="shared" si="2"/>
        <v>29</v>
      </c>
      <c r="C40" s="14"/>
      <c r="D40" s="19" t="s">
        <v>62</v>
      </c>
      <c r="E40" s="20" t="s">
        <v>82</v>
      </c>
      <c r="F40" s="21" t="s">
        <v>46</v>
      </c>
      <c r="G40" s="55">
        <f t="shared" si="0"/>
        <v>3464025.82</v>
      </c>
      <c r="H40" s="28">
        <v>1732012.91</v>
      </c>
      <c r="I40" s="28">
        <v>1732012.91</v>
      </c>
      <c r="J40" s="28"/>
      <c r="K40" s="17">
        <v>42737</v>
      </c>
      <c r="L40" s="17">
        <v>42856</v>
      </c>
      <c r="M40" s="51">
        <v>1660686.8599999999</v>
      </c>
      <c r="N40" s="29">
        <v>1</v>
      </c>
      <c r="O40" s="29">
        <f t="shared" si="1"/>
        <v>0.95881898478458794</v>
      </c>
      <c r="P40" s="18" t="s">
        <v>9</v>
      </c>
    </row>
    <row r="41" spans="2:16" s="12" customFormat="1" ht="24">
      <c r="B41" s="13">
        <f t="shared" si="2"/>
        <v>30</v>
      </c>
      <c r="C41" s="14"/>
      <c r="D41" s="19" t="s">
        <v>63</v>
      </c>
      <c r="E41" s="20" t="s">
        <v>83</v>
      </c>
      <c r="F41" s="21" t="s">
        <v>46</v>
      </c>
      <c r="G41" s="55">
        <f t="shared" si="0"/>
        <v>4455139.92</v>
      </c>
      <c r="H41" s="28">
        <v>2353663.39</v>
      </c>
      <c r="I41" s="28">
        <v>2101476.5299999998</v>
      </c>
      <c r="J41" s="28"/>
      <c r="K41" s="17">
        <v>42745</v>
      </c>
      <c r="L41" s="17">
        <v>42914</v>
      </c>
      <c r="M41" s="51">
        <v>2101489.5</v>
      </c>
      <c r="N41" s="29">
        <v>1</v>
      </c>
      <c r="O41" s="29">
        <f t="shared" si="1"/>
        <v>1.0000061718509892</v>
      </c>
      <c r="P41" s="18" t="s">
        <v>9</v>
      </c>
    </row>
    <row r="42" spans="2:16" s="12" customFormat="1" ht="24" customHeight="1">
      <c r="B42" s="13">
        <f t="shared" si="2"/>
        <v>31</v>
      </c>
      <c r="C42" s="14"/>
      <c r="D42" s="19" t="s">
        <v>64</v>
      </c>
      <c r="E42" s="20" t="s">
        <v>84</v>
      </c>
      <c r="F42" s="21" t="s">
        <v>75</v>
      </c>
      <c r="G42" s="55">
        <f t="shared" si="0"/>
        <v>2969240.36</v>
      </c>
      <c r="H42" s="28">
        <v>608763.85</v>
      </c>
      <c r="I42" s="28">
        <v>2360476.5099999998</v>
      </c>
      <c r="J42" s="28"/>
      <c r="K42" s="17">
        <v>42745</v>
      </c>
      <c r="L42" s="17">
        <v>42892</v>
      </c>
      <c r="M42" s="51">
        <v>2360476.5099999998</v>
      </c>
      <c r="N42" s="29">
        <v>1</v>
      </c>
      <c r="O42" s="29">
        <f t="shared" si="1"/>
        <v>1</v>
      </c>
      <c r="P42" s="18" t="s">
        <v>9</v>
      </c>
    </row>
    <row r="43" spans="2:16" s="12" customFormat="1" ht="36">
      <c r="B43" s="13">
        <f t="shared" si="2"/>
        <v>32</v>
      </c>
      <c r="C43" s="14"/>
      <c r="D43" s="19" t="s">
        <v>65</v>
      </c>
      <c r="E43" s="20" t="s">
        <v>85</v>
      </c>
      <c r="F43" s="21" t="s">
        <v>14</v>
      </c>
      <c r="G43" s="55">
        <f t="shared" si="0"/>
        <v>2610644.98</v>
      </c>
      <c r="H43" s="28">
        <f>1221051.66</f>
        <v>1221051.6599999999</v>
      </c>
      <c r="I43" s="28">
        <f>1221051.67</f>
        <v>1221051.67</v>
      </c>
      <c r="J43" s="28">
        <v>168541.65</v>
      </c>
      <c r="K43" s="17">
        <v>42744</v>
      </c>
      <c r="L43" s="17">
        <v>42884</v>
      </c>
      <c r="M43" s="51">
        <v>1221051.67</v>
      </c>
      <c r="N43" s="29">
        <v>1</v>
      </c>
      <c r="O43" s="29">
        <f t="shared" si="1"/>
        <v>1</v>
      </c>
      <c r="P43" s="18" t="s">
        <v>9</v>
      </c>
    </row>
    <row r="44" spans="2:16" s="12" customFormat="1" ht="36">
      <c r="B44" s="13">
        <f t="shared" si="2"/>
        <v>33</v>
      </c>
      <c r="C44" s="14"/>
      <c r="D44" s="19" t="s">
        <v>66</v>
      </c>
      <c r="E44" s="20" t="s">
        <v>86</v>
      </c>
      <c r="F44" s="21" t="s">
        <v>87</v>
      </c>
      <c r="G44" s="55">
        <f t="shared" si="0"/>
        <v>5064342.96</v>
      </c>
      <c r="H44" s="28">
        <f>2379622.31</f>
        <v>2379622.31</v>
      </c>
      <c r="I44" s="28">
        <f>2379622.32</f>
        <v>2379622.3199999998</v>
      </c>
      <c r="J44" s="28">
        <v>305098.33</v>
      </c>
      <c r="K44" s="17">
        <v>42745</v>
      </c>
      <c r="L44" s="17">
        <v>42882</v>
      </c>
      <c r="M44" s="51">
        <v>2379622.3200000003</v>
      </c>
      <c r="N44" s="29">
        <v>1</v>
      </c>
      <c r="O44" s="29">
        <f t="shared" si="1"/>
        <v>1.0000000000000002</v>
      </c>
      <c r="P44" s="18" t="s">
        <v>9</v>
      </c>
    </row>
    <row r="45" spans="2:16" s="12" customFormat="1" ht="24">
      <c r="B45" s="13">
        <f t="shared" si="2"/>
        <v>34</v>
      </c>
      <c r="C45" s="14"/>
      <c r="D45" s="19" t="s">
        <v>91</v>
      </c>
      <c r="E45" s="20" t="s">
        <v>93</v>
      </c>
      <c r="F45" s="21" t="s">
        <v>95</v>
      </c>
      <c r="G45" s="55">
        <f t="shared" si="0"/>
        <v>374532.22</v>
      </c>
      <c r="H45" s="28">
        <v>212532.22</v>
      </c>
      <c r="I45" s="28">
        <v>162000</v>
      </c>
      <c r="J45" s="28"/>
      <c r="K45" s="17">
        <v>42717</v>
      </c>
      <c r="L45" s="17">
        <v>42761</v>
      </c>
      <c r="M45" s="51">
        <v>108940.53</v>
      </c>
      <c r="N45" s="29">
        <v>0.65</v>
      </c>
      <c r="O45" s="29">
        <f t="shared" si="1"/>
        <v>0.67247240740740744</v>
      </c>
      <c r="P45" s="18" t="s">
        <v>23</v>
      </c>
    </row>
    <row r="46" spans="2:16" s="12" customFormat="1" ht="24">
      <c r="B46" s="13">
        <f t="shared" si="2"/>
        <v>35</v>
      </c>
      <c r="C46" s="14"/>
      <c r="D46" s="19" t="s">
        <v>92</v>
      </c>
      <c r="E46" s="20" t="s">
        <v>94</v>
      </c>
      <c r="F46" s="21" t="s">
        <v>46</v>
      </c>
      <c r="G46" s="55">
        <f t="shared" si="0"/>
        <v>137396.87</v>
      </c>
      <c r="H46" s="28">
        <v>56612.98</v>
      </c>
      <c r="I46" s="28">
        <v>80783.89</v>
      </c>
      <c r="J46" s="28"/>
      <c r="K46" s="17">
        <v>42717</v>
      </c>
      <c r="L46" s="17">
        <v>42746</v>
      </c>
      <c r="M46" s="51">
        <v>66020.44</v>
      </c>
      <c r="N46" s="29">
        <v>0.84</v>
      </c>
      <c r="O46" s="29">
        <f t="shared" si="1"/>
        <v>0.81724759726227592</v>
      </c>
      <c r="P46" s="18" t="s">
        <v>23</v>
      </c>
    </row>
    <row r="47" spans="2:16" s="12" customFormat="1" ht="24">
      <c r="B47" s="13">
        <f t="shared" si="2"/>
        <v>36</v>
      </c>
      <c r="C47" s="14"/>
      <c r="D47" s="19" t="s">
        <v>96</v>
      </c>
      <c r="E47" s="20" t="s">
        <v>100</v>
      </c>
      <c r="F47" s="21" t="s">
        <v>14</v>
      </c>
      <c r="G47" s="55">
        <f t="shared" si="0"/>
        <v>983800.71</v>
      </c>
      <c r="H47" s="28">
        <v>491900.35</v>
      </c>
      <c r="I47" s="28">
        <v>491900.36</v>
      </c>
      <c r="J47" s="28"/>
      <c r="K47" s="17">
        <v>42717</v>
      </c>
      <c r="L47" s="17">
        <v>42836</v>
      </c>
      <c r="M47" s="51">
        <v>491900.36</v>
      </c>
      <c r="N47" s="29">
        <v>1</v>
      </c>
      <c r="O47" s="29">
        <f t="shared" si="1"/>
        <v>1</v>
      </c>
      <c r="P47" s="18" t="s">
        <v>23</v>
      </c>
    </row>
    <row r="48" spans="2:16" s="12" customFormat="1" ht="24">
      <c r="B48" s="13">
        <f t="shared" si="2"/>
        <v>37</v>
      </c>
      <c r="C48" s="14"/>
      <c r="D48" s="19" t="s">
        <v>97</v>
      </c>
      <c r="E48" s="20" t="s">
        <v>101</v>
      </c>
      <c r="F48" s="21" t="s">
        <v>14</v>
      </c>
      <c r="G48" s="55">
        <f t="shared" si="0"/>
        <v>5552822.9100000001</v>
      </c>
      <c r="H48" s="28">
        <f>3411721.15-65621.46</f>
        <v>3346099.69</v>
      </c>
      <c r="I48" s="28">
        <f>2250000-43276.78</f>
        <v>2206723.2200000002</v>
      </c>
      <c r="J48" s="28"/>
      <c r="K48" s="17">
        <v>42751</v>
      </c>
      <c r="L48" s="17">
        <v>42916</v>
      </c>
      <c r="M48" s="51">
        <v>2206691.8200000003</v>
      </c>
      <c r="N48" s="29">
        <v>1</v>
      </c>
      <c r="O48" s="29">
        <f t="shared" si="1"/>
        <v>0.99998577075742201</v>
      </c>
      <c r="P48" s="18" t="s">
        <v>9</v>
      </c>
    </row>
    <row r="49" spans="2:16" s="12" customFormat="1" ht="60">
      <c r="B49" s="13">
        <f t="shared" si="2"/>
        <v>38</v>
      </c>
      <c r="C49" s="14"/>
      <c r="D49" s="19" t="s">
        <v>98</v>
      </c>
      <c r="E49" s="20" t="s">
        <v>102</v>
      </c>
      <c r="F49" s="21" t="s">
        <v>14</v>
      </c>
      <c r="G49" s="55">
        <f t="shared" si="0"/>
        <v>3600209.6</v>
      </c>
      <c r="H49" s="28">
        <f>4165742.7-565533.1</f>
        <v>3600209.6</v>
      </c>
      <c r="I49" s="28">
        <v>0</v>
      </c>
      <c r="J49" s="28"/>
      <c r="K49" s="17" t="s">
        <v>357</v>
      </c>
      <c r="L49" s="17">
        <v>42900</v>
      </c>
      <c r="M49" s="51"/>
      <c r="N49" s="29">
        <v>0.83</v>
      </c>
      <c r="O49" s="29">
        <v>0</v>
      </c>
      <c r="P49" s="18" t="s">
        <v>9</v>
      </c>
    </row>
    <row r="50" spans="2:16" s="12" customFormat="1" ht="72">
      <c r="B50" s="13">
        <f t="shared" si="2"/>
        <v>39</v>
      </c>
      <c r="C50" s="14"/>
      <c r="D50" s="19" t="s">
        <v>99</v>
      </c>
      <c r="E50" s="20" t="s">
        <v>103</v>
      </c>
      <c r="F50" s="21" t="s">
        <v>27</v>
      </c>
      <c r="G50" s="55">
        <f t="shared" si="0"/>
        <v>3297196.49</v>
      </c>
      <c r="H50" s="28">
        <v>3297196.49</v>
      </c>
      <c r="I50" s="28">
        <v>0</v>
      </c>
      <c r="J50" s="28"/>
      <c r="K50" s="17">
        <v>42751</v>
      </c>
      <c r="L50" s="17">
        <v>42901</v>
      </c>
      <c r="M50" s="51"/>
      <c r="N50" s="29">
        <v>1</v>
      </c>
      <c r="O50" s="29">
        <v>0</v>
      </c>
      <c r="P50" s="18" t="s">
        <v>9</v>
      </c>
    </row>
    <row r="51" spans="2:16" s="12" customFormat="1" ht="36">
      <c r="B51" s="13">
        <f t="shared" si="2"/>
        <v>40</v>
      </c>
      <c r="C51" s="14"/>
      <c r="D51" s="19" t="s">
        <v>107</v>
      </c>
      <c r="E51" s="20" t="s">
        <v>108</v>
      </c>
      <c r="F51" s="21" t="s">
        <v>15</v>
      </c>
      <c r="G51" s="55">
        <f t="shared" si="0"/>
        <v>974920.46</v>
      </c>
      <c r="H51" s="28">
        <v>918180.1</v>
      </c>
      <c r="I51" s="28">
        <v>56740.36</v>
      </c>
      <c r="J51" s="28"/>
      <c r="K51" s="17">
        <v>42723</v>
      </c>
      <c r="L51" s="17">
        <v>42887</v>
      </c>
      <c r="M51" s="51">
        <v>56740.36</v>
      </c>
      <c r="N51" s="29">
        <v>1</v>
      </c>
      <c r="O51" s="29">
        <f t="shared" si="1"/>
        <v>1</v>
      </c>
      <c r="P51" s="18" t="s">
        <v>23</v>
      </c>
    </row>
    <row r="52" spans="2:16" s="12" customFormat="1" ht="36">
      <c r="B52" s="13">
        <f t="shared" si="2"/>
        <v>41</v>
      </c>
      <c r="C52" s="14"/>
      <c r="D52" s="19" t="s">
        <v>104</v>
      </c>
      <c r="E52" s="20" t="s">
        <v>105</v>
      </c>
      <c r="F52" s="21" t="s">
        <v>106</v>
      </c>
      <c r="G52" s="55">
        <f t="shared" si="0"/>
        <v>1736086.1400000001</v>
      </c>
      <c r="H52" s="28">
        <v>1149809.8500000001</v>
      </c>
      <c r="I52" s="28">
        <v>586276.29</v>
      </c>
      <c r="J52" s="28"/>
      <c r="K52" s="17">
        <v>42751</v>
      </c>
      <c r="L52" s="17">
        <v>42870</v>
      </c>
      <c r="M52" s="51">
        <v>586276.29</v>
      </c>
      <c r="N52" s="29">
        <v>1</v>
      </c>
      <c r="O52" s="29">
        <f t="shared" si="1"/>
        <v>1</v>
      </c>
      <c r="P52" s="18" t="s">
        <v>9</v>
      </c>
    </row>
    <row r="53" spans="2:16" s="12" customFormat="1" ht="24">
      <c r="B53" s="13">
        <f t="shared" si="2"/>
        <v>42</v>
      </c>
      <c r="C53" s="14"/>
      <c r="D53" s="19" t="s">
        <v>111</v>
      </c>
      <c r="E53" s="20" t="s">
        <v>112</v>
      </c>
      <c r="F53" s="21" t="s">
        <v>46</v>
      </c>
      <c r="G53" s="55">
        <f t="shared" si="0"/>
        <v>573924.47</v>
      </c>
      <c r="H53" s="28">
        <v>297522.44</v>
      </c>
      <c r="I53" s="28">
        <v>276402.03000000003</v>
      </c>
      <c r="J53" s="28"/>
      <c r="K53" s="17">
        <v>42723</v>
      </c>
      <c r="L53" s="17">
        <v>42870</v>
      </c>
      <c r="M53" s="51">
        <v>276402.03000000003</v>
      </c>
      <c r="N53" s="29">
        <v>1</v>
      </c>
      <c r="O53" s="29">
        <f t="shared" si="1"/>
        <v>1</v>
      </c>
      <c r="P53" s="18" t="s">
        <v>23</v>
      </c>
    </row>
    <row r="54" spans="2:16" s="12" customFormat="1" ht="24">
      <c r="B54" s="13">
        <f t="shared" si="2"/>
        <v>43</v>
      </c>
      <c r="C54" s="14"/>
      <c r="D54" s="19" t="s">
        <v>113</v>
      </c>
      <c r="E54" s="20" t="s">
        <v>116</v>
      </c>
      <c r="F54" s="21" t="s">
        <v>95</v>
      </c>
      <c r="G54" s="55">
        <f t="shared" si="0"/>
        <v>1719694.58</v>
      </c>
      <c r="H54" s="28">
        <v>750000</v>
      </c>
      <c r="I54" s="28">
        <v>750000</v>
      </c>
      <c r="J54" s="28">
        <f>10950.56+15879.89+192864.13</f>
        <v>219694.58000000002</v>
      </c>
      <c r="K54" s="17">
        <v>42758</v>
      </c>
      <c r="L54" s="17">
        <v>42917</v>
      </c>
      <c r="M54" s="51">
        <v>749999.99999999988</v>
      </c>
      <c r="N54" s="29">
        <v>1</v>
      </c>
      <c r="O54" s="29">
        <f t="shared" si="1"/>
        <v>0.99999999999999989</v>
      </c>
      <c r="P54" s="18" t="s">
        <v>9</v>
      </c>
    </row>
    <row r="55" spans="2:16" s="12" customFormat="1" ht="21.75" customHeight="1">
      <c r="B55" s="13">
        <f t="shared" si="2"/>
        <v>44</v>
      </c>
      <c r="C55" s="14"/>
      <c r="D55" s="19" t="s">
        <v>114</v>
      </c>
      <c r="E55" s="20" t="s">
        <v>117</v>
      </c>
      <c r="F55" s="21" t="s">
        <v>14</v>
      </c>
      <c r="G55" s="55">
        <f t="shared" si="0"/>
        <v>6564484.9900000002</v>
      </c>
      <c r="H55" s="28">
        <f>1756597.54-49945.91</f>
        <v>1706651.6300000001</v>
      </c>
      <c r="I55" s="28">
        <f>5000000-142166.64</f>
        <v>4857833.3600000003</v>
      </c>
      <c r="J55" s="28"/>
      <c r="K55" s="17">
        <v>42758</v>
      </c>
      <c r="L55" s="17">
        <v>42897</v>
      </c>
      <c r="M55" s="51">
        <v>4857836.7100000018</v>
      </c>
      <c r="N55" s="29">
        <v>1</v>
      </c>
      <c r="O55" s="29">
        <f t="shared" si="1"/>
        <v>1.0000006896078464</v>
      </c>
      <c r="P55" s="18" t="s">
        <v>9</v>
      </c>
    </row>
    <row r="56" spans="2:16" s="12" customFormat="1" ht="27" customHeight="1">
      <c r="B56" s="13">
        <f t="shared" si="2"/>
        <v>45</v>
      </c>
      <c r="C56" s="14"/>
      <c r="D56" s="19" t="s">
        <v>115</v>
      </c>
      <c r="E56" s="20" t="s">
        <v>118</v>
      </c>
      <c r="F56" s="21" t="s">
        <v>14</v>
      </c>
      <c r="G56" s="55">
        <f t="shared" si="0"/>
        <v>6997565.7400000002</v>
      </c>
      <c r="H56" s="28">
        <v>4747565.74</v>
      </c>
      <c r="I56" s="28">
        <v>2250000</v>
      </c>
      <c r="J56" s="28"/>
      <c r="K56" s="17">
        <v>42758</v>
      </c>
      <c r="L56" s="17">
        <v>42964</v>
      </c>
      <c r="M56" s="51">
        <v>2250000.0000000005</v>
      </c>
      <c r="N56" s="29">
        <v>1</v>
      </c>
      <c r="O56" s="29">
        <f t="shared" si="1"/>
        <v>1.0000000000000002</v>
      </c>
      <c r="P56" s="18" t="s">
        <v>9</v>
      </c>
    </row>
    <row r="57" spans="2:16" s="12" customFormat="1" ht="36">
      <c r="B57" s="13">
        <f t="shared" si="2"/>
        <v>46</v>
      </c>
      <c r="C57" s="14"/>
      <c r="D57" s="19" t="s">
        <v>123</v>
      </c>
      <c r="E57" s="20" t="s">
        <v>126</v>
      </c>
      <c r="F57" s="21" t="s">
        <v>14</v>
      </c>
      <c r="G57" s="55">
        <f>SUM(H57:J57)</f>
        <v>23235817.32</v>
      </c>
      <c r="H57" s="28"/>
      <c r="I57" s="28">
        <v>23235817.32</v>
      </c>
      <c r="J57" s="28"/>
      <c r="K57" s="17">
        <v>42765</v>
      </c>
      <c r="L57" s="17">
        <v>42966</v>
      </c>
      <c r="M57" s="52">
        <v>20929944.23</v>
      </c>
      <c r="N57" s="29">
        <v>0.9</v>
      </c>
      <c r="O57" s="29">
        <f t="shared" si="1"/>
        <v>0.90076212692482982</v>
      </c>
      <c r="P57" s="18" t="s">
        <v>129</v>
      </c>
    </row>
    <row r="58" spans="2:16" s="12" customFormat="1" ht="36">
      <c r="B58" s="13">
        <f t="shared" si="2"/>
        <v>47</v>
      </c>
      <c r="C58" s="14"/>
      <c r="D58" s="19" t="s">
        <v>124</v>
      </c>
      <c r="E58" s="20" t="s">
        <v>127</v>
      </c>
      <c r="F58" s="21" t="s">
        <v>14</v>
      </c>
      <c r="G58" s="55">
        <f>SUM(H58:J58)</f>
        <v>22815586.129999999</v>
      </c>
      <c r="H58" s="28"/>
      <c r="I58" s="28">
        <v>22815586.129999999</v>
      </c>
      <c r="J58" s="28"/>
      <c r="K58" s="17">
        <v>42765</v>
      </c>
      <c r="L58" s="17">
        <v>43001</v>
      </c>
      <c r="M58" s="52">
        <v>20630551.77</v>
      </c>
      <c r="N58" s="29">
        <v>0.81</v>
      </c>
      <c r="O58" s="29">
        <f t="shared" si="1"/>
        <v>0.90423062780197794</v>
      </c>
      <c r="P58" s="18" t="s">
        <v>129</v>
      </c>
    </row>
    <row r="59" spans="2:16" s="12" customFormat="1" ht="36">
      <c r="B59" s="13">
        <f t="shared" si="2"/>
        <v>48</v>
      </c>
      <c r="C59" s="14"/>
      <c r="D59" s="19" t="s">
        <v>125</v>
      </c>
      <c r="E59" s="20" t="s">
        <v>128</v>
      </c>
      <c r="F59" s="21" t="s">
        <v>14</v>
      </c>
      <c r="G59" s="55">
        <f t="shared" ref="G59:G122" si="3">SUM(H59:J59)</f>
        <v>2761709.15</v>
      </c>
      <c r="H59" s="28"/>
      <c r="I59" s="28">
        <v>2761709.15</v>
      </c>
      <c r="J59" s="28"/>
      <c r="K59" s="17">
        <v>42765</v>
      </c>
      <c r="L59" s="17">
        <v>42944</v>
      </c>
      <c r="M59" s="52">
        <v>2605072.08</v>
      </c>
      <c r="N59" s="29">
        <v>0.93</v>
      </c>
      <c r="O59" s="29">
        <f t="shared" si="1"/>
        <v>0.94328256109083763</v>
      </c>
      <c r="P59" s="18" t="s">
        <v>129</v>
      </c>
    </row>
    <row r="60" spans="2:16" s="12" customFormat="1" ht="24">
      <c r="B60" s="13">
        <f t="shared" si="2"/>
        <v>49</v>
      </c>
      <c r="C60" s="14"/>
      <c r="D60" s="19" t="s">
        <v>133</v>
      </c>
      <c r="E60" s="20" t="s">
        <v>138</v>
      </c>
      <c r="F60" s="21" t="s">
        <v>14</v>
      </c>
      <c r="G60" s="55">
        <f t="shared" si="3"/>
        <v>4650000</v>
      </c>
      <c r="H60" s="28">
        <f>2393617.57+106382.43</f>
        <v>2500000</v>
      </c>
      <c r="I60" s="28">
        <f>2058796.06+91203.94</f>
        <v>2150000</v>
      </c>
      <c r="J60" s="28"/>
      <c r="K60" s="17">
        <v>42940</v>
      </c>
      <c r="L60" s="17">
        <v>43119</v>
      </c>
      <c r="M60" s="51">
        <v>1433021.81</v>
      </c>
      <c r="N60" s="29">
        <v>0.41</v>
      </c>
      <c r="O60" s="29">
        <f t="shared" si="1"/>
        <v>0.66652177209302332</v>
      </c>
      <c r="P60" s="18" t="s">
        <v>9</v>
      </c>
    </row>
    <row r="61" spans="2:16" s="12" customFormat="1" ht="24">
      <c r="B61" s="13">
        <f t="shared" si="2"/>
        <v>50</v>
      </c>
      <c r="C61" s="14"/>
      <c r="D61" s="19" t="s">
        <v>134</v>
      </c>
      <c r="E61" s="20" t="s">
        <v>139</v>
      </c>
      <c r="F61" s="21" t="s">
        <v>27</v>
      </c>
      <c r="G61" s="55">
        <f t="shared" si="3"/>
        <v>2279381.1100000003</v>
      </c>
      <c r="H61" s="28">
        <f>1435776.35-25523.26</f>
        <v>1410253.09</v>
      </c>
      <c r="I61" s="28">
        <f>884857.8-15729.78</f>
        <v>869128.02</v>
      </c>
      <c r="J61" s="28"/>
      <c r="K61" s="17">
        <v>42933</v>
      </c>
      <c r="L61" s="17">
        <v>43052</v>
      </c>
      <c r="M61" s="51">
        <v>869128.02</v>
      </c>
      <c r="N61" s="29">
        <v>1</v>
      </c>
      <c r="O61" s="29">
        <f t="shared" si="1"/>
        <v>1</v>
      </c>
      <c r="P61" s="18" t="s">
        <v>9</v>
      </c>
    </row>
    <row r="62" spans="2:16" s="12" customFormat="1" ht="48">
      <c r="B62" s="13">
        <f t="shared" si="2"/>
        <v>51</v>
      </c>
      <c r="C62" s="14"/>
      <c r="D62" s="19" t="s">
        <v>135</v>
      </c>
      <c r="E62" s="20" t="s">
        <v>140</v>
      </c>
      <c r="F62" s="21" t="s">
        <v>14</v>
      </c>
      <c r="G62" s="55">
        <f t="shared" si="3"/>
        <v>7493837.602</v>
      </c>
      <c r="H62" s="28">
        <f>3061929.63+332029.42</f>
        <v>3393959.05</v>
      </c>
      <c r="I62" s="28">
        <f>3698789.35+401089.202</f>
        <v>4099878.5520000001</v>
      </c>
      <c r="J62" s="28"/>
      <c r="K62" s="17">
        <v>42933</v>
      </c>
      <c r="L62" s="17">
        <v>43052</v>
      </c>
      <c r="M62" s="51">
        <v>2354980.64</v>
      </c>
      <c r="N62" s="29">
        <v>0.5</v>
      </c>
      <c r="O62" s="29">
        <f t="shared" si="1"/>
        <v>0.57440253659494256</v>
      </c>
      <c r="P62" s="18" t="s">
        <v>9</v>
      </c>
    </row>
    <row r="63" spans="2:16" s="12" customFormat="1" ht="24">
      <c r="B63" s="13">
        <f t="shared" si="2"/>
        <v>52</v>
      </c>
      <c r="C63" s="14"/>
      <c r="D63" s="19" t="s">
        <v>136</v>
      </c>
      <c r="E63" s="20" t="s">
        <v>141</v>
      </c>
      <c r="F63" s="21" t="s">
        <v>14</v>
      </c>
      <c r="G63" s="55">
        <f t="shared" si="3"/>
        <v>4695764.04</v>
      </c>
      <c r="H63" s="28">
        <v>2347882.02</v>
      </c>
      <c r="I63" s="28">
        <v>2347882.02</v>
      </c>
      <c r="J63" s="28"/>
      <c r="K63" s="17">
        <v>42905</v>
      </c>
      <c r="L63" s="17">
        <v>43024</v>
      </c>
      <c r="M63" s="51">
        <v>1004288.7</v>
      </c>
      <c r="N63" s="29">
        <v>0.25</v>
      </c>
      <c r="O63" s="29">
        <f t="shared" si="1"/>
        <v>0.42774240419456849</v>
      </c>
      <c r="P63" s="18" t="s">
        <v>9</v>
      </c>
    </row>
    <row r="64" spans="2:16" s="12" customFormat="1" ht="48">
      <c r="B64" s="13">
        <f t="shared" si="2"/>
        <v>53</v>
      </c>
      <c r="C64" s="14"/>
      <c r="D64" s="19" t="s">
        <v>137</v>
      </c>
      <c r="E64" s="20" t="s">
        <v>142</v>
      </c>
      <c r="F64" s="21" t="s">
        <v>143</v>
      </c>
      <c r="G64" s="55">
        <f t="shared" si="3"/>
        <v>7099419.9100000001</v>
      </c>
      <c r="H64" s="28">
        <f>6079710.09+20111.5</f>
        <v>6099821.5899999999</v>
      </c>
      <c r="I64" s="28">
        <f>972709.82+26888.5</f>
        <v>999598.32</v>
      </c>
      <c r="J64" s="28"/>
      <c r="K64" s="17">
        <v>39252</v>
      </c>
      <c r="L64" s="17">
        <v>43024</v>
      </c>
      <c r="M64" s="51">
        <v>999598.32</v>
      </c>
      <c r="N64" s="29">
        <v>1</v>
      </c>
      <c r="O64" s="29">
        <f t="shared" si="1"/>
        <v>1</v>
      </c>
      <c r="P64" s="18" t="s">
        <v>9</v>
      </c>
    </row>
    <row r="65" spans="2:18" s="12" customFormat="1" ht="36">
      <c r="B65" s="13">
        <f t="shared" si="2"/>
        <v>54</v>
      </c>
      <c r="C65" s="14"/>
      <c r="D65" s="19" t="s">
        <v>144</v>
      </c>
      <c r="E65" s="20" t="s">
        <v>147</v>
      </c>
      <c r="F65" s="21" t="s">
        <v>150</v>
      </c>
      <c r="G65" s="55">
        <f t="shared" si="3"/>
        <v>2289216.54</v>
      </c>
      <c r="H65" s="28">
        <f>956183.51+188424.76</f>
        <v>1144608.27</v>
      </c>
      <c r="I65" s="28">
        <f>956183.52+188424.75</f>
        <v>1144608.27</v>
      </c>
      <c r="J65" s="28"/>
      <c r="K65" s="17">
        <v>42919</v>
      </c>
      <c r="L65" s="17">
        <v>43067</v>
      </c>
      <c r="M65" s="51">
        <v>860400.58</v>
      </c>
      <c r="N65" s="29">
        <v>0.93</v>
      </c>
      <c r="O65" s="29">
        <f t="shared" si="1"/>
        <v>0.75169872746070576</v>
      </c>
      <c r="P65" s="18" t="s">
        <v>9</v>
      </c>
    </row>
    <row r="66" spans="2:18" s="12" customFormat="1" ht="24">
      <c r="B66" s="13">
        <f t="shared" si="2"/>
        <v>55</v>
      </c>
      <c r="C66" s="14"/>
      <c r="D66" s="19" t="s">
        <v>145</v>
      </c>
      <c r="E66" s="20" t="s">
        <v>148</v>
      </c>
      <c r="F66" s="21" t="s">
        <v>14</v>
      </c>
      <c r="G66" s="55">
        <f t="shared" si="3"/>
        <v>1283183.23</v>
      </c>
      <c r="H66" s="28">
        <f>1093066.52-10573.15</f>
        <v>1082493.3700000001</v>
      </c>
      <c r="I66" s="28">
        <f>171471.33+29218.53</f>
        <v>200689.86</v>
      </c>
      <c r="J66" s="28"/>
      <c r="K66" s="17">
        <v>42905</v>
      </c>
      <c r="L66" s="17">
        <v>42994</v>
      </c>
      <c r="M66" s="51">
        <v>154342.54999999999</v>
      </c>
      <c r="N66" s="29">
        <v>0.9</v>
      </c>
      <c r="O66" s="29">
        <f t="shared" si="1"/>
        <v>0.7690600312342637</v>
      </c>
      <c r="P66" s="18" t="s">
        <v>23</v>
      </c>
    </row>
    <row r="67" spans="2:18" s="12" customFormat="1" ht="24">
      <c r="B67" s="13">
        <f t="shared" si="2"/>
        <v>56</v>
      </c>
      <c r="C67" s="14"/>
      <c r="D67" s="19" t="s">
        <v>146</v>
      </c>
      <c r="E67" s="20" t="s">
        <v>149</v>
      </c>
      <c r="F67" s="21" t="s">
        <v>14</v>
      </c>
      <c r="G67" s="55">
        <f t="shared" si="3"/>
        <v>676892.40999999992</v>
      </c>
      <c r="H67" s="28">
        <v>506721.66</v>
      </c>
      <c r="I67" s="28">
        <v>170170.75</v>
      </c>
      <c r="J67" s="28"/>
      <c r="K67" s="17">
        <v>42905</v>
      </c>
      <c r="L67" s="17">
        <v>42994</v>
      </c>
      <c r="M67" s="51">
        <v>170170.75</v>
      </c>
      <c r="N67" s="29">
        <v>1</v>
      </c>
      <c r="O67" s="29">
        <f t="shared" si="1"/>
        <v>1</v>
      </c>
      <c r="P67" s="18" t="s">
        <v>23</v>
      </c>
    </row>
    <row r="68" spans="2:18" s="12" customFormat="1" ht="42.75" customHeight="1">
      <c r="B68" s="13">
        <f t="shared" si="2"/>
        <v>57</v>
      </c>
      <c r="C68" s="14"/>
      <c r="D68" s="19" t="s">
        <v>151</v>
      </c>
      <c r="E68" s="23" t="s">
        <v>152</v>
      </c>
      <c r="F68" s="23" t="s">
        <v>95</v>
      </c>
      <c r="G68" s="55">
        <f t="shared" si="3"/>
        <v>2439876.27</v>
      </c>
      <c r="H68" s="39">
        <f>1179630.93+10245.34</f>
        <v>1189876.27</v>
      </c>
      <c r="I68" s="39">
        <f>1239132.5+10867.5</f>
        <v>1250000</v>
      </c>
      <c r="J68" s="30"/>
      <c r="K68" s="17">
        <v>42948</v>
      </c>
      <c r="L68" s="17">
        <v>43067</v>
      </c>
      <c r="M68" s="51">
        <v>602351.65</v>
      </c>
      <c r="N68" s="29">
        <v>0.28000000000000003</v>
      </c>
      <c r="O68" s="29">
        <f t="shared" si="1"/>
        <v>0.48188132</v>
      </c>
      <c r="P68" s="18" t="s">
        <v>9</v>
      </c>
      <c r="R68" s="50"/>
    </row>
    <row r="69" spans="2:18" s="12" customFormat="1" ht="33.75" customHeight="1">
      <c r="B69" s="13">
        <f t="shared" si="2"/>
        <v>58</v>
      </c>
      <c r="C69" s="14"/>
      <c r="D69" s="19" t="s">
        <v>156</v>
      </c>
      <c r="E69" s="23" t="s">
        <v>73</v>
      </c>
      <c r="F69" s="23" t="s">
        <v>157</v>
      </c>
      <c r="G69" s="55">
        <f t="shared" si="3"/>
        <v>1718141.26</v>
      </c>
      <c r="H69" s="39">
        <v>618874.48</v>
      </c>
      <c r="I69" s="39">
        <v>1099266.78</v>
      </c>
      <c r="J69" s="31"/>
      <c r="K69" s="17">
        <v>42948</v>
      </c>
      <c r="L69" s="17">
        <v>43067</v>
      </c>
      <c r="M69" s="51">
        <v>938385.46</v>
      </c>
      <c r="N69" s="29">
        <v>0.85</v>
      </c>
      <c r="O69" s="29">
        <f t="shared" si="1"/>
        <v>0.85364670075811799</v>
      </c>
      <c r="P69" s="18" t="s">
        <v>9</v>
      </c>
      <c r="R69" s="50"/>
    </row>
    <row r="70" spans="2:18" s="12" customFormat="1" ht="48">
      <c r="B70" s="13">
        <f t="shared" si="2"/>
        <v>59</v>
      </c>
      <c r="C70" s="14"/>
      <c r="D70" s="19" t="s">
        <v>158</v>
      </c>
      <c r="E70" s="23" t="s">
        <v>159</v>
      </c>
      <c r="F70" s="20" t="s">
        <v>160</v>
      </c>
      <c r="G70" s="55">
        <f t="shared" si="3"/>
        <v>1678434.1</v>
      </c>
      <c r="H70" s="39">
        <v>1188834.8700000001</v>
      </c>
      <c r="I70" s="39">
        <v>489599.23</v>
      </c>
      <c r="J70" s="31"/>
      <c r="K70" s="17">
        <v>42975</v>
      </c>
      <c r="L70" s="17">
        <v>43094</v>
      </c>
      <c r="M70" s="51">
        <v>427232.66</v>
      </c>
      <c r="N70" s="29">
        <v>0.88</v>
      </c>
      <c r="O70" s="29">
        <f t="shared" si="1"/>
        <v>0.87261709949993183</v>
      </c>
      <c r="P70" s="18" t="s">
        <v>9</v>
      </c>
    </row>
    <row r="71" spans="2:18" s="12" customFormat="1" ht="48">
      <c r="B71" s="13">
        <f t="shared" si="2"/>
        <v>60</v>
      </c>
      <c r="C71" s="14"/>
      <c r="D71" s="19" t="s">
        <v>161</v>
      </c>
      <c r="E71" s="23" t="s">
        <v>162</v>
      </c>
      <c r="F71" s="20" t="s">
        <v>163</v>
      </c>
      <c r="G71" s="55">
        <f t="shared" si="3"/>
        <v>4268028.58</v>
      </c>
      <c r="H71" s="39">
        <f>3875480.91+192547.67</f>
        <v>4068028.58</v>
      </c>
      <c r="I71" s="39">
        <f>190704.08+9295.92</f>
        <v>200000</v>
      </c>
      <c r="J71" s="31"/>
      <c r="K71" s="17">
        <v>42975</v>
      </c>
      <c r="L71" s="17">
        <v>43094</v>
      </c>
      <c r="M71" s="51">
        <v>62658.61</v>
      </c>
      <c r="N71" s="29">
        <v>7.0000000000000007E-2</v>
      </c>
      <c r="O71" s="29">
        <f t="shared" si="1"/>
        <v>0.31329305000000002</v>
      </c>
      <c r="P71" s="18" t="s">
        <v>9</v>
      </c>
    </row>
    <row r="72" spans="2:18" s="12" customFormat="1" ht="36">
      <c r="B72" s="13">
        <f t="shared" si="2"/>
        <v>61</v>
      </c>
      <c r="C72" s="14"/>
      <c r="D72" s="19" t="s">
        <v>170</v>
      </c>
      <c r="E72" s="23" t="s">
        <v>171</v>
      </c>
      <c r="F72" s="20" t="s">
        <v>14</v>
      </c>
      <c r="G72" s="55">
        <f t="shared" si="3"/>
        <v>1799594.68</v>
      </c>
      <c r="H72" s="39">
        <v>899797.34</v>
      </c>
      <c r="I72" s="39">
        <v>899797.34</v>
      </c>
      <c r="J72" s="31"/>
      <c r="K72" s="17">
        <v>42948</v>
      </c>
      <c r="L72" s="17">
        <v>43067</v>
      </c>
      <c r="M72" s="51">
        <v>808063.33</v>
      </c>
      <c r="N72" s="29">
        <v>0.95</v>
      </c>
      <c r="O72" s="29">
        <f t="shared" si="1"/>
        <v>0.89805036543006445</v>
      </c>
      <c r="P72" s="18" t="s">
        <v>9</v>
      </c>
    </row>
    <row r="73" spans="2:18" s="12" customFormat="1" ht="36">
      <c r="B73" s="13">
        <f t="shared" si="2"/>
        <v>62</v>
      </c>
      <c r="C73" s="14"/>
      <c r="D73" s="19" t="s">
        <v>172</v>
      </c>
      <c r="E73" s="23" t="s">
        <v>173</v>
      </c>
      <c r="F73" s="20" t="s">
        <v>14</v>
      </c>
      <c r="G73" s="55">
        <f t="shared" si="3"/>
        <v>1788589.6700000002</v>
      </c>
      <c r="H73" s="39">
        <v>894191.18</v>
      </c>
      <c r="I73" s="39">
        <v>894191.18</v>
      </c>
      <c r="J73" s="40">
        <v>207.31</v>
      </c>
      <c r="K73" s="17">
        <v>42948</v>
      </c>
      <c r="L73" s="17">
        <v>43067</v>
      </c>
      <c r="M73" s="51">
        <v>307322.69</v>
      </c>
      <c r="N73" s="29">
        <v>0.06</v>
      </c>
      <c r="O73" s="29">
        <f t="shared" si="1"/>
        <v>0.34368790128303434</v>
      </c>
      <c r="P73" s="18" t="s">
        <v>9</v>
      </c>
    </row>
    <row r="74" spans="2:18" s="12" customFormat="1" ht="48">
      <c r="B74" s="13">
        <f t="shared" si="2"/>
        <v>63</v>
      </c>
      <c r="C74" s="14"/>
      <c r="D74" s="19" t="s">
        <v>174</v>
      </c>
      <c r="E74" s="23" t="s">
        <v>175</v>
      </c>
      <c r="F74" s="20" t="s">
        <v>14</v>
      </c>
      <c r="G74" s="55">
        <f t="shared" si="3"/>
        <v>1879323.4500000002</v>
      </c>
      <c r="H74" s="39">
        <f>924824.79+14836.93</f>
        <v>939661.72000000009</v>
      </c>
      <c r="I74" s="39">
        <f>924824.79+14836.94</f>
        <v>939661.73</v>
      </c>
      <c r="J74" s="31"/>
      <c r="K74" s="17">
        <v>42948</v>
      </c>
      <c r="L74" s="17">
        <v>43067</v>
      </c>
      <c r="M74" s="51">
        <v>832340.56</v>
      </c>
      <c r="N74" s="29">
        <v>0.98</v>
      </c>
      <c r="O74" s="29">
        <f t="shared" si="1"/>
        <v>0.88578744182760327</v>
      </c>
      <c r="P74" s="18" t="s">
        <v>9</v>
      </c>
    </row>
    <row r="75" spans="2:18" s="12" customFormat="1" ht="27" customHeight="1">
      <c r="B75" s="13">
        <f t="shared" si="2"/>
        <v>64</v>
      </c>
      <c r="C75" s="14"/>
      <c r="D75" s="19" t="s">
        <v>176</v>
      </c>
      <c r="E75" s="23" t="s">
        <v>177</v>
      </c>
      <c r="F75" s="20" t="s">
        <v>178</v>
      </c>
      <c r="G75" s="55">
        <f t="shared" si="3"/>
        <v>3318232.55</v>
      </c>
      <c r="H75" s="39">
        <v>1659116.27</v>
      </c>
      <c r="I75" s="39">
        <v>1659116.28</v>
      </c>
      <c r="J75" s="31"/>
      <c r="K75" s="17">
        <v>42975</v>
      </c>
      <c r="L75" s="17">
        <v>43094</v>
      </c>
      <c r="M75" s="51">
        <v>497734.89</v>
      </c>
      <c r="N75" s="29">
        <v>0</v>
      </c>
      <c r="O75" s="29">
        <f t="shared" si="1"/>
        <v>0.30000000361638307</v>
      </c>
      <c r="P75" s="18" t="s">
        <v>9</v>
      </c>
    </row>
    <row r="76" spans="2:18" s="12" customFormat="1" ht="27" customHeight="1">
      <c r="B76" s="13">
        <f t="shared" si="2"/>
        <v>65</v>
      </c>
      <c r="C76" s="14"/>
      <c r="D76" s="19" t="s">
        <v>179</v>
      </c>
      <c r="E76" s="23" t="s">
        <v>180</v>
      </c>
      <c r="F76" s="20" t="s">
        <v>48</v>
      </c>
      <c r="G76" s="55">
        <f t="shared" si="3"/>
        <v>1692727.75</v>
      </c>
      <c r="H76" s="39">
        <f>781452.87+64911</f>
        <v>846363.87</v>
      </c>
      <c r="I76" s="39">
        <f>781452.87+64911.01</f>
        <v>846363.88</v>
      </c>
      <c r="J76" s="31"/>
      <c r="K76" s="17">
        <v>42975</v>
      </c>
      <c r="L76" s="17">
        <v>43094</v>
      </c>
      <c r="M76" s="51">
        <v>474294.91</v>
      </c>
      <c r="N76" s="29">
        <v>0.43</v>
      </c>
      <c r="O76" s="29">
        <f t="shared" si="1"/>
        <v>0.56039124684763242</v>
      </c>
      <c r="P76" s="18" t="s">
        <v>9</v>
      </c>
    </row>
    <row r="77" spans="2:18" s="12" customFormat="1" ht="27" customHeight="1">
      <c r="B77" s="13">
        <f t="shared" si="2"/>
        <v>66</v>
      </c>
      <c r="C77" s="14"/>
      <c r="D77" s="19" t="s">
        <v>153</v>
      </c>
      <c r="E77" s="23" t="s">
        <v>154</v>
      </c>
      <c r="F77" s="22" t="s">
        <v>155</v>
      </c>
      <c r="G77" s="55">
        <f t="shared" si="3"/>
        <v>830247.4</v>
      </c>
      <c r="H77" s="39">
        <v>471746.57</v>
      </c>
      <c r="I77" s="39">
        <v>358500.83</v>
      </c>
      <c r="J77" s="31"/>
      <c r="K77" s="17">
        <v>42933</v>
      </c>
      <c r="L77" s="17">
        <v>43038</v>
      </c>
      <c r="M77" s="51">
        <v>107550.25</v>
      </c>
      <c r="N77" s="29">
        <v>0</v>
      </c>
      <c r="O77" s="29">
        <f t="shared" ref="O77:O140" si="4">+M77/I77</f>
        <v>0.30000000278939382</v>
      </c>
      <c r="P77" s="18" t="s">
        <v>23</v>
      </c>
    </row>
    <row r="78" spans="2:18" s="12" customFormat="1" ht="48">
      <c r="B78" s="13">
        <f t="shared" ref="B78:B141" si="5">+B77+1</f>
        <v>67</v>
      </c>
      <c r="C78" s="14"/>
      <c r="D78" s="19" t="s">
        <v>181</v>
      </c>
      <c r="E78" s="20" t="s">
        <v>182</v>
      </c>
      <c r="F78" s="20" t="s">
        <v>14</v>
      </c>
      <c r="G78" s="55">
        <f t="shared" si="3"/>
        <v>2134218.3899999997</v>
      </c>
      <c r="H78" s="39">
        <f>1001247.6+65861.59</f>
        <v>1067109.19</v>
      </c>
      <c r="I78" s="39">
        <f>1001247.61+65861.59</f>
        <v>1067109.2</v>
      </c>
      <c r="J78" s="30"/>
      <c r="K78" s="17">
        <v>42961</v>
      </c>
      <c r="L78" s="17">
        <v>43080</v>
      </c>
      <c r="M78" s="51">
        <v>502917.13</v>
      </c>
      <c r="N78" s="29">
        <v>0.3</v>
      </c>
      <c r="O78" s="29">
        <f t="shared" si="4"/>
        <v>0.47128928323361846</v>
      </c>
      <c r="P78" s="18" t="s">
        <v>9</v>
      </c>
    </row>
    <row r="79" spans="2:18" s="12" customFormat="1" ht="36">
      <c r="B79" s="13">
        <f t="shared" si="5"/>
        <v>68</v>
      </c>
      <c r="C79" s="14"/>
      <c r="D79" s="19" t="s">
        <v>187</v>
      </c>
      <c r="E79" s="23" t="s">
        <v>188</v>
      </c>
      <c r="F79" s="20" t="s">
        <v>14</v>
      </c>
      <c r="G79" s="55">
        <f t="shared" si="3"/>
        <v>1864528.3099999998</v>
      </c>
      <c r="H79" s="39">
        <f>800624.94+131639.21</f>
        <v>932264.14999999991</v>
      </c>
      <c r="I79" s="39">
        <f>800624.94+131639.22</f>
        <v>932264.15999999992</v>
      </c>
      <c r="J79" s="31"/>
      <c r="K79" s="17">
        <v>43010</v>
      </c>
      <c r="L79" s="17">
        <v>43129</v>
      </c>
      <c r="M79" s="51">
        <v>240187.48</v>
      </c>
      <c r="N79" s="29">
        <v>0</v>
      </c>
      <c r="O79" s="29">
        <f t="shared" si="4"/>
        <v>0.25763886493287486</v>
      </c>
      <c r="P79" s="18" t="s">
        <v>23</v>
      </c>
    </row>
    <row r="80" spans="2:18" s="12" customFormat="1" ht="48">
      <c r="B80" s="13">
        <f t="shared" si="5"/>
        <v>69</v>
      </c>
      <c r="C80" s="14"/>
      <c r="D80" s="19" t="s">
        <v>189</v>
      </c>
      <c r="E80" s="23" t="s">
        <v>190</v>
      </c>
      <c r="F80" s="20" t="s">
        <v>160</v>
      </c>
      <c r="G80" s="55">
        <f t="shared" si="3"/>
        <v>2133821.2200000002</v>
      </c>
      <c r="H80" s="39">
        <v>1104039.1000000001</v>
      </c>
      <c r="I80" s="39">
        <v>1029782.12</v>
      </c>
      <c r="J80" s="31"/>
      <c r="K80" s="17">
        <v>42961</v>
      </c>
      <c r="L80" s="17">
        <v>43080</v>
      </c>
      <c r="M80" s="51">
        <v>397279.1</v>
      </c>
      <c r="N80" s="29">
        <v>0.19</v>
      </c>
      <c r="O80" s="29">
        <f t="shared" si="4"/>
        <v>0.38578947166027699</v>
      </c>
      <c r="P80" s="18" t="s">
        <v>9</v>
      </c>
    </row>
    <row r="81" spans="2:16" s="12" customFormat="1" ht="24">
      <c r="B81" s="13">
        <f t="shared" si="5"/>
        <v>70</v>
      </c>
      <c r="C81" s="14"/>
      <c r="D81" s="19" t="s">
        <v>191</v>
      </c>
      <c r="E81" s="23" t="s">
        <v>192</v>
      </c>
      <c r="F81" s="20" t="s">
        <v>193</v>
      </c>
      <c r="G81" s="55">
        <f t="shared" si="3"/>
        <v>3486308.79</v>
      </c>
      <c r="H81" s="39">
        <f>1598154.39+145000</f>
        <v>1743154.39</v>
      </c>
      <c r="I81" s="39">
        <f>1598154.4+145000</f>
        <v>1743154.4</v>
      </c>
      <c r="J81" s="31"/>
      <c r="K81" s="17">
        <v>42961</v>
      </c>
      <c r="L81" s="17">
        <v>43089</v>
      </c>
      <c r="M81" s="51">
        <v>777675.38</v>
      </c>
      <c r="N81" s="29">
        <v>0.26</v>
      </c>
      <c r="O81" s="29">
        <f t="shared" si="4"/>
        <v>0.44613109429663833</v>
      </c>
      <c r="P81" s="18" t="s">
        <v>9</v>
      </c>
    </row>
    <row r="82" spans="2:16" s="12" customFormat="1" ht="36">
      <c r="B82" s="13">
        <f t="shared" si="5"/>
        <v>71</v>
      </c>
      <c r="C82" s="14"/>
      <c r="D82" s="19" t="s">
        <v>196</v>
      </c>
      <c r="E82" s="23" t="s">
        <v>197</v>
      </c>
      <c r="F82" s="20" t="s">
        <v>14</v>
      </c>
      <c r="G82" s="55">
        <f t="shared" si="3"/>
        <v>2093272.03</v>
      </c>
      <c r="H82" s="39">
        <f>974136.38+72499.63</f>
        <v>1046636.01</v>
      </c>
      <c r="I82" s="39">
        <f>974136.39+72499.63</f>
        <v>1046636.02</v>
      </c>
      <c r="J82" s="31"/>
      <c r="K82" s="17">
        <v>42961</v>
      </c>
      <c r="L82" s="17">
        <v>43080</v>
      </c>
      <c r="M82" s="51">
        <v>855635.97</v>
      </c>
      <c r="N82" s="29">
        <v>0.85</v>
      </c>
      <c r="O82" s="29">
        <f t="shared" si="4"/>
        <v>0.81751053245807459</v>
      </c>
      <c r="P82" s="18" t="s">
        <v>9</v>
      </c>
    </row>
    <row r="83" spans="2:16" s="12" customFormat="1" ht="24">
      <c r="B83" s="13">
        <f t="shared" si="5"/>
        <v>72</v>
      </c>
      <c r="C83" s="14"/>
      <c r="D83" s="19" t="s">
        <v>202</v>
      </c>
      <c r="E83" s="23" t="s">
        <v>203</v>
      </c>
      <c r="F83" s="20" t="s">
        <v>14</v>
      </c>
      <c r="G83" s="55">
        <f t="shared" si="3"/>
        <v>2461264.7400000002</v>
      </c>
      <c r="H83" s="39">
        <f>1155863.33+74769.04</f>
        <v>1230632.3700000001</v>
      </c>
      <c r="I83" s="39">
        <f>1155863.33+74769.04</f>
        <v>1230632.3700000001</v>
      </c>
      <c r="J83" s="31"/>
      <c r="K83" s="17">
        <v>42996</v>
      </c>
      <c r="L83" s="17">
        <v>43115</v>
      </c>
      <c r="M83" s="51">
        <v>346759</v>
      </c>
      <c r="N83" s="29">
        <v>0</v>
      </c>
      <c r="O83" s="29">
        <f t="shared" si="4"/>
        <v>0.28177302048376962</v>
      </c>
      <c r="P83" s="18" t="s">
        <v>9</v>
      </c>
    </row>
    <row r="84" spans="2:16" s="12" customFormat="1" ht="24">
      <c r="B84" s="13">
        <f t="shared" si="5"/>
        <v>73</v>
      </c>
      <c r="C84" s="14"/>
      <c r="D84" s="19" t="s">
        <v>204</v>
      </c>
      <c r="E84" s="23" t="s">
        <v>205</v>
      </c>
      <c r="F84" s="20" t="s">
        <v>14</v>
      </c>
      <c r="G84" s="55">
        <f t="shared" si="3"/>
        <v>2227997.88</v>
      </c>
      <c r="H84" s="39">
        <f>739551.13+51889.21</f>
        <v>791440.34</v>
      </c>
      <c r="I84" s="39">
        <f>1342518.49+94039.05</f>
        <v>1436557.54</v>
      </c>
      <c r="J84" s="31"/>
      <c r="K84" s="17">
        <v>42961</v>
      </c>
      <c r="L84" s="17">
        <v>43109</v>
      </c>
      <c r="M84" s="51">
        <v>884403.24</v>
      </c>
      <c r="N84" s="29">
        <v>0.55000000000000004</v>
      </c>
      <c r="O84" s="29">
        <f t="shared" si="4"/>
        <v>0.61564066553157348</v>
      </c>
      <c r="P84" s="18" t="s">
        <v>9</v>
      </c>
    </row>
    <row r="85" spans="2:16" s="12" customFormat="1" ht="24">
      <c r="B85" s="13">
        <f t="shared" si="5"/>
        <v>74</v>
      </c>
      <c r="C85" s="14"/>
      <c r="D85" s="19" t="s">
        <v>206</v>
      </c>
      <c r="E85" s="23" t="s">
        <v>207</v>
      </c>
      <c r="F85" s="20" t="s">
        <v>14</v>
      </c>
      <c r="G85" s="55">
        <f t="shared" si="3"/>
        <v>1937122.85</v>
      </c>
      <c r="H85" s="39">
        <v>907348.34</v>
      </c>
      <c r="I85" s="39">
        <v>1029774.51</v>
      </c>
      <c r="J85" s="31"/>
      <c r="K85" s="17">
        <v>42961</v>
      </c>
      <c r="L85" s="17">
        <v>43080</v>
      </c>
      <c r="M85" s="51">
        <v>926284.96</v>
      </c>
      <c r="N85" s="29">
        <v>0.92</v>
      </c>
      <c r="O85" s="29">
        <f t="shared" si="4"/>
        <v>0.89950270763645135</v>
      </c>
      <c r="P85" s="18" t="s">
        <v>9</v>
      </c>
    </row>
    <row r="86" spans="2:16" s="12" customFormat="1" ht="24">
      <c r="B86" s="13">
        <f t="shared" si="5"/>
        <v>75</v>
      </c>
      <c r="C86" s="14"/>
      <c r="D86" s="19" t="s">
        <v>208</v>
      </c>
      <c r="E86" s="23" t="s">
        <v>209</v>
      </c>
      <c r="F86" s="20" t="s">
        <v>150</v>
      </c>
      <c r="G86" s="55">
        <f t="shared" si="3"/>
        <v>2439967.8200000003</v>
      </c>
      <c r="H86" s="39">
        <f>1179204.99+105371.1</f>
        <v>1284576.0900000001</v>
      </c>
      <c r="I86" s="39">
        <f>1060500.59+94891.14</f>
        <v>1155391.73</v>
      </c>
      <c r="J86" s="31"/>
      <c r="K86" s="17">
        <v>42961</v>
      </c>
      <c r="L86" s="17">
        <v>43080</v>
      </c>
      <c r="M86" s="51">
        <v>954484.78</v>
      </c>
      <c r="N86" s="29">
        <v>0.92</v>
      </c>
      <c r="O86" s="29">
        <f t="shared" si="4"/>
        <v>0.82611356409829939</v>
      </c>
      <c r="P86" s="18" t="s">
        <v>9</v>
      </c>
    </row>
    <row r="87" spans="2:16" s="12" customFormat="1" ht="36">
      <c r="B87" s="13">
        <f t="shared" si="5"/>
        <v>76</v>
      </c>
      <c r="C87" s="14"/>
      <c r="D87" s="19" t="s">
        <v>210</v>
      </c>
      <c r="E87" s="23" t="s">
        <v>211</v>
      </c>
      <c r="F87" s="20" t="s">
        <v>212</v>
      </c>
      <c r="G87" s="55">
        <f t="shared" si="3"/>
        <v>6063490.0299999993</v>
      </c>
      <c r="H87" s="39">
        <f>2994867.11+36877.9</f>
        <v>3031745.01</v>
      </c>
      <c r="I87" s="39">
        <f>2994867.12+36877.9</f>
        <v>3031745.02</v>
      </c>
      <c r="J87" s="31"/>
      <c r="K87" s="17">
        <v>42961</v>
      </c>
      <c r="L87" s="17">
        <v>43080</v>
      </c>
      <c r="M87" s="51">
        <v>1158385.1000000001</v>
      </c>
      <c r="N87" s="29">
        <v>0.14000000000000001</v>
      </c>
      <c r="O87" s="29">
        <f t="shared" si="4"/>
        <v>0.38208526520478958</v>
      </c>
      <c r="P87" s="18" t="s">
        <v>9</v>
      </c>
    </row>
    <row r="88" spans="2:16" s="12" customFormat="1" ht="24">
      <c r="B88" s="13">
        <f t="shared" si="5"/>
        <v>77</v>
      </c>
      <c r="C88" s="14"/>
      <c r="D88" s="19" t="s">
        <v>198</v>
      </c>
      <c r="E88" s="23" t="s">
        <v>199</v>
      </c>
      <c r="F88" s="20" t="s">
        <v>193</v>
      </c>
      <c r="G88" s="55">
        <f t="shared" si="3"/>
        <v>1250408.8</v>
      </c>
      <c r="H88" s="39">
        <v>408.8</v>
      </c>
      <c r="I88" s="39">
        <v>1250000</v>
      </c>
      <c r="J88" s="31"/>
      <c r="K88" s="17">
        <v>42968</v>
      </c>
      <c r="L88" s="17">
        <v>43072</v>
      </c>
      <c r="M88" s="51">
        <v>1081997.06</v>
      </c>
      <c r="N88" s="29">
        <v>0.81</v>
      </c>
      <c r="O88" s="29">
        <f t="shared" si="4"/>
        <v>0.86559764800000005</v>
      </c>
      <c r="P88" s="18" t="s">
        <v>9</v>
      </c>
    </row>
    <row r="89" spans="2:16" s="12" customFormat="1" ht="36">
      <c r="B89" s="13">
        <f t="shared" si="5"/>
        <v>78</v>
      </c>
      <c r="C89" s="14"/>
      <c r="D89" s="19" t="s">
        <v>225</v>
      </c>
      <c r="E89" s="20" t="s">
        <v>226</v>
      </c>
      <c r="F89" s="20" t="s">
        <v>14</v>
      </c>
      <c r="G89" s="55">
        <f t="shared" si="3"/>
        <v>2093977.6400000001</v>
      </c>
      <c r="H89" s="39">
        <f>601066.02+42911.62</f>
        <v>643977.64</v>
      </c>
      <c r="I89" s="39">
        <f>1353620.23+96379.77</f>
        <v>1450000</v>
      </c>
      <c r="J89" s="31"/>
      <c r="K89" s="17">
        <v>42975</v>
      </c>
      <c r="L89" s="17">
        <v>43094</v>
      </c>
      <c r="M89" s="51">
        <v>406086.07</v>
      </c>
      <c r="N89" s="29">
        <v>0</v>
      </c>
      <c r="O89" s="29">
        <f t="shared" si="4"/>
        <v>0.28005935862068965</v>
      </c>
      <c r="P89" s="18" t="s">
        <v>9</v>
      </c>
    </row>
    <row r="90" spans="2:16" s="12" customFormat="1" ht="24">
      <c r="B90" s="13">
        <f t="shared" si="5"/>
        <v>79</v>
      </c>
      <c r="C90" s="14"/>
      <c r="D90" s="19" t="s">
        <v>227</v>
      </c>
      <c r="E90" s="20" t="s">
        <v>228</v>
      </c>
      <c r="F90" s="20" t="s">
        <v>14</v>
      </c>
      <c r="G90" s="55">
        <f t="shared" si="3"/>
        <v>2165864.9299999997</v>
      </c>
      <c r="H90" s="39">
        <f>1003336.73+79595.73</f>
        <v>1082932.46</v>
      </c>
      <c r="I90" s="39">
        <f>1003336.74+79595.73</f>
        <v>1082932.47</v>
      </c>
      <c r="J90" s="31"/>
      <c r="K90" s="17">
        <v>42975</v>
      </c>
      <c r="L90" s="17">
        <v>43094</v>
      </c>
      <c r="M90" s="51">
        <v>301001.02</v>
      </c>
      <c r="N90" s="29">
        <v>0</v>
      </c>
      <c r="O90" s="29">
        <f t="shared" si="4"/>
        <v>0.27794994456117844</v>
      </c>
      <c r="P90" s="18" t="s">
        <v>9</v>
      </c>
    </row>
    <row r="91" spans="2:16" s="12" customFormat="1" ht="36">
      <c r="B91" s="13">
        <f t="shared" si="5"/>
        <v>80</v>
      </c>
      <c r="C91" s="14"/>
      <c r="D91" s="19" t="s">
        <v>200</v>
      </c>
      <c r="E91" s="23" t="s">
        <v>201</v>
      </c>
      <c r="F91" s="20" t="s">
        <v>14</v>
      </c>
      <c r="G91" s="55">
        <f t="shared" si="3"/>
        <v>441361.21</v>
      </c>
      <c r="H91" s="39">
        <v>341361.21</v>
      </c>
      <c r="I91" s="39">
        <v>100000</v>
      </c>
      <c r="J91" s="31"/>
      <c r="K91" s="17">
        <v>42968</v>
      </c>
      <c r="L91" s="17">
        <v>43072</v>
      </c>
      <c r="M91" s="51">
        <v>54784.75</v>
      </c>
      <c r="N91" s="29">
        <v>0.35</v>
      </c>
      <c r="O91" s="29">
        <f t="shared" si="4"/>
        <v>0.54784750000000004</v>
      </c>
      <c r="P91" s="18" t="s">
        <v>23</v>
      </c>
    </row>
    <row r="92" spans="2:16" s="12" customFormat="1" ht="36">
      <c r="B92" s="13">
        <f t="shared" si="5"/>
        <v>81</v>
      </c>
      <c r="C92" s="14"/>
      <c r="D92" s="19" t="s">
        <v>185</v>
      </c>
      <c r="E92" s="23" t="s">
        <v>186</v>
      </c>
      <c r="F92" s="20" t="s">
        <v>14</v>
      </c>
      <c r="G92" s="55">
        <f t="shared" si="3"/>
        <v>1230791.76</v>
      </c>
      <c r="H92" s="39">
        <v>615395.88</v>
      </c>
      <c r="I92" s="39">
        <v>615395.88</v>
      </c>
      <c r="J92" s="31"/>
      <c r="K92" s="17">
        <v>42968</v>
      </c>
      <c r="L92" s="17">
        <v>43057</v>
      </c>
      <c r="M92" s="51">
        <v>541463.05000000005</v>
      </c>
      <c r="N92" s="29">
        <v>0.9</v>
      </c>
      <c r="O92" s="29">
        <f t="shared" si="4"/>
        <v>0.87986135038798119</v>
      </c>
      <c r="P92" s="18" t="s">
        <v>23</v>
      </c>
    </row>
    <row r="93" spans="2:16" s="12" customFormat="1" ht="36">
      <c r="B93" s="13">
        <f t="shared" si="5"/>
        <v>82</v>
      </c>
      <c r="C93" s="14"/>
      <c r="D93" s="19" t="s">
        <v>194</v>
      </c>
      <c r="E93" s="23" t="s">
        <v>195</v>
      </c>
      <c r="F93" s="20" t="s">
        <v>14</v>
      </c>
      <c r="G93" s="55">
        <f t="shared" si="3"/>
        <v>1185545.3799999999</v>
      </c>
      <c r="H93" s="39">
        <v>592772.68999999994</v>
      </c>
      <c r="I93" s="39">
        <v>592772.68999999994</v>
      </c>
      <c r="J93" s="31"/>
      <c r="K93" s="17">
        <v>42968</v>
      </c>
      <c r="L93" s="17">
        <v>43067</v>
      </c>
      <c r="M93" s="51">
        <v>530153.67000000004</v>
      </c>
      <c r="N93" s="29">
        <v>0.9</v>
      </c>
      <c r="O93" s="29">
        <f t="shared" si="4"/>
        <v>0.89436250850220522</v>
      </c>
      <c r="P93" s="18" t="s">
        <v>23</v>
      </c>
    </row>
    <row r="94" spans="2:16" s="12" customFormat="1" ht="24">
      <c r="B94" s="13">
        <f t="shared" si="5"/>
        <v>83</v>
      </c>
      <c r="C94" s="14"/>
      <c r="D94" s="19" t="s">
        <v>168</v>
      </c>
      <c r="E94" s="23" t="s">
        <v>169</v>
      </c>
      <c r="F94" s="20" t="s">
        <v>14</v>
      </c>
      <c r="G94" s="55">
        <f t="shared" si="3"/>
        <v>1361944.1099999999</v>
      </c>
      <c r="H94" s="39">
        <f>614928.71+66043.34</f>
        <v>680972.04999999993</v>
      </c>
      <c r="I94" s="39">
        <f>614928.71+66043.35</f>
        <v>680972.05999999994</v>
      </c>
      <c r="J94" s="31"/>
      <c r="K94" s="17">
        <v>42967</v>
      </c>
      <c r="L94" s="17">
        <v>43094</v>
      </c>
      <c r="M94" s="51">
        <v>300264.71000000002</v>
      </c>
      <c r="N94" s="29">
        <v>0.3</v>
      </c>
      <c r="O94" s="29">
        <f t="shared" si="4"/>
        <v>0.44093543279881414</v>
      </c>
      <c r="P94" s="18" t="s">
        <v>23</v>
      </c>
    </row>
    <row r="95" spans="2:16" s="12" customFormat="1" ht="36">
      <c r="B95" s="13">
        <f t="shared" si="5"/>
        <v>84</v>
      </c>
      <c r="C95" s="14"/>
      <c r="D95" s="19" t="s">
        <v>215</v>
      </c>
      <c r="E95" s="20" t="s">
        <v>216</v>
      </c>
      <c r="F95" s="20" t="s">
        <v>14</v>
      </c>
      <c r="G95" s="55">
        <f t="shared" si="3"/>
        <v>1035298.25</v>
      </c>
      <c r="H95" s="39">
        <v>517649.12</v>
      </c>
      <c r="I95" s="39">
        <v>517649.13</v>
      </c>
      <c r="J95" s="31"/>
      <c r="K95" s="17">
        <v>42975</v>
      </c>
      <c r="L95" s="17">
        <v>43094</v>
      </c>
      <c r="M95" s="51">
        <v>459124.23</v>
      </c>
      <c r="N95" s="29">
        <v>0.84</v>
      </c>
      <c r="O95" s="29">
        <f t="shared" si="4"/>
        <v>0.8869409864554394</v>
      </c>
      <c r="P95" s="18" t="s">
        <v>23</v>
      </c>
    </row>
    <row r="96" spans="2:16" s="12" customFormat="1" ht="36">
      <c r="B96" s="13">
        <f t="shared" si="5"/>
        <v>85</v>
      </c>
      <c r="C96" s="14"/>
      <c r="D96" s="19" t="s">
        <v>217</v>
      </c>
      <c r="E96" s="20" t="s">
        <v>218</v>
      </c>
      <c r="F96" s="20" t="s">
        <v>14</v>
      </c>
      <c r="G96" s="55">
        <f t="shared" si="3"/>
        <v>1791492.39</v>
      </c>
      <c r="H96" s="39">
        <f>825048.85+70697.34</f>
        <v>895746.19</v>
      </c>
      <c r="I96" s="39">
        <f>825048.86+70697.34</f>
        <v>895746.2</v>
      </c>
      <c r="J96" s="31"/>
      <c r="K96" s="17">
        <v>42996</v>
      </c>
      <c r="L96" s="17">
        <v>43115</v>
      </c>
      <c r="M96" s="51">
        <v>471440.77</v>
      </c>
      <c r="N96" s="29">
        <v>0.4</v>
      </c>
      <c r="O96" s="29">
        <f t="shared" si="4"/>
        <v>0.52631065585318704</v>
      </c>
      <c r="P96" s="18" t="s">
        <v>9</v>
      </c>
    </row>
    <row r="97" spans="2:16" s="12" customFormat="1" ht="36">
      <c r="B97" s="13">
        <f t="shared" si="5"/>
        <v>86</v>
      </c>
      <c r="C97" s="14"/>
      <c r="D97" s="19" t="s">
        <v>219</v>
      </c>
      <c r="E97" s="20" t="s">
        <v>220</v>
      </c>
      <c r="F97" s="20" t="s">
        <v>14</v>
      </c>
      <c r="G97" s="55">
        <f t="shared" si="3"/>
        <v>1718567.32</v>
      </c>
      <c r="H97" s="39">
        <f>824773.77+34509.89</f>
        <v>859283.66</v>
      </c>
      <c r="I97" s="39">
        <f>824773.77+34509.89</f>
        <v>859283.66</v>
      </c>
      <c r="J97" s="31"/>
      <c r="K97" s="17">
        <v>42996</v>
      </c>
      <c r="L97" s="17">
        <v>43115</v>
      </c>
      <c r="M97" s="51">
        <v>608501.51100000006</v>
      </c>
      <c r="N97" s="29">
        <v>0.64</v>
      </c>
      <c r="O97" s="29">
        <f t="shared" si="4"/>
        <v>0.70814975231811117</v>
      </c>
      <c r="P97" s="18" t="s">
        <v>9</v>
      </c>
    </row>
    <row r="98" spans="2:16" s="12" customFormat="1" ht="36">
      <c r="B98" s="13">
        <f t="shared" si="5"/>
        <v>87</v>
      </c>
      <c r="C98" s="14"/>
      <c r="D98" s="19" t="s">
        <v>221</v>
      </c>
      <c r="E98" s="20" t="s">
        <v>222</v>
      </c>
      <c r="F98" s="20" t="s">
        <v>14</v>
      </c>
      <c r="G98" s="55">
        <f t="shared" si="3"/>
        <v>3000266.29</v>
      </c>
      <c r="H98" s="39">
        <f>1380806.02+119327.12</f>
        <v>1500133.1400000001</v>
      </c>
      <c r="I98" s="39">
        <f>1380806.03+119327.12</f>
        <v>1500133.15</v>
      </c>
      <c r="J98" s="31"/>
      <c r="K98" s="17">
        <v>42996</v>
      </c>
      <c r="L98" s="17">
        <v>43115</v>
      </c>
      <c r="M98" s="51">
        <v>770761.31900000002</v>
      </c>
      <c r="N98" s="29">
        <v>0.39</v>
      </c>
      <c r="O98" s="29">
        <f t="shared" si="4"/>
        <v>0.51379527143973858</v>
      </c>
      <c r="P98" s="18" t="s">
        <v>9</v>
      </c>
    </row>
    <row r="99" spans="2:16" s="12" customFormat="1" ht="36">
      <c r="B99" s="13">
        <f t="shared" si="5"/>
        <v>88</v>
      </c>
      <c r="C99" s="14"/>
      <c r="D99" s="19" t="s">
        <v>223</v>
      </c>
      <c r="E99" s="20" t="s">
        <v>224</v>
      </c>
      <c r="F99" s="20" t="s">
        <v>212</v>
      </c>
      <c r="G99" s="55">
        <f t="shared" si="3"/>
        <v>2468269.8899999997</v>
      </c>
      <c r="H99" s="39">
        <f>1353458.18+96556.73</f>
        <v>1450014.91</v>
      </c>
      <c r="I99" s="39">
        <f>950300.42+67954.56</f>
        <v>1018254.98</v>
      </c>
      <c r="J99" s="31"/>
      <c r="K99" s="17">
        <v>42996</v>
      </c>
      <c r="L99" s="17">
        <v>43115</v>
      </c>
      <c r="M99" s="51">
        <v>285090.12599999999</v>
      </c>
      <c r="N99" s="29">
        <v>0</v>
      </c>
      <c r="O99" s="29">
        <f t="shared" si="4"/>
        <v>0.27997911289370764</v>
      </c>
      <c r="P99" s="18" t="s">
        <v>9</v>
      </c>
    </row>
    <row r="100" spans="2:16" s="12" customFormat="1" ht="36">
      <c r="B100" s="13">
        <f t="shared" si="5"/>
        <v>89</v>
      </c>
      <c r="C100" s="14"/>
      <c r="D100" s="19" t="s">
        <v>249</v>
      </c>
      <c r="E100" s="20" t="s">
        <v>250</v>
      </c>
      <c r="F100" s="21" t="s">
        <v>251</v>
      </c>
      <c r="G100" s="55">
        <f t="shared" si="3"/>
        <v>3667260.4699999997</v>
      </c>
      <c r="H100" s="39">
        <f>1698466.66+135163.57</f>
        <v>1833630.23</v>
      </c>
      <c r="I100" s="39">
        <f>1698466.67+135163.57</f>
        <v>1833630.24</v>
      </c>
      <c r="J100" s="31"/>
      <c r="K100" s="17">
        <v>42996</v>
      </c>
      <c r="L100" s="17">
        <v>43115</v>
      </c>
      <c r="M100" s="51">
        <v>886395.82099999988</v>
      </c>
      <c r="N100" s="29">
        <v>0.15</v>
      </c>
      <c r="O100" s="29">
        <f t="shared" si="4"/>
        <v>0.48341034177097769</v>
      </c>
      <c r="P100" s="18" t="s">
        <v>9</v>
      </c>
    </row>
    <row r="101" spans="2:16" s="12" customFormat="1" ht="24">
      <c r="B101" s="13">
        <f t="shared" si="5"/>
        <v>90</v>
      </c>
      <c r="C101" s="14"/>
      <c r="D101" s="19" t="s">
        <v>252</v>
      </c>
      <c r="E101" s="20" t="s">
        <v>253</v>
      </c>
      <c r="F101" s="21" t="s">
        <v>254</v>
      </c>
      <c r="G101" s="55">
        <f t="shared" si="3"/>
        <v>2645289.6799999997</v>
      </c>
      <c r="H101" s="39">
        <f>1055169.99+16688.4</f>
        <v>1071858.3899999999</v>
      </c>
      <c r="I101" s="39">
        <f>1548902.06+24529.23</f>
        <v>1573431.29</v>
      </c>
      <c r="J101" s="31"/>
      <c r="K101" s="17">
        <v>42996</v>
      </c>
      <c r="L101" s="17">
        <v>43115</v>
      </c>
      <c r="M101" s="51">
        <v>850125.45799999998</v>
      </c>
      <c r="N101" s="29">
        <v>0.37</v>
      </c>
      <c r="O101" s="29">
        <f t="shared" si="4"/>
        <v>0.5403003381228042</v>
      </c>
      <c r="P101" s="18" t="s">
        <v>9</v>
      </c>
    </row>
    <row r="102" spans="2:16" s="12" customFormat="1" ht="24">
      <c r="B102" s="13">
        <f t="shared" si="5"/>
        <v>91</v>
      </c>
      <c r="C102" s="14"/>
      <c r="D102" s="19" t="s">
        <v>255</v>
      </c>
      <c r="E102" s="20" t="s">
        <v>256</v>
      </c>
      <c r="F102" s="21" t="s">
        <v>257</v>
      </c>
      <c r="G102" s="55">
        <f t="shared" si="3"/>
        <v>3142578.04</v>
      </c>
      <c r="H102" s="39">
        <f>1477610.46+93678.56</f>
        <v>1571289.02</v>
      </c>
      <c r="I102" s="39">
        <f>1477610.46+93678.56</f>
        <v>1571289.02</v>
      </c>
      <c r="J102" s="31"/>
      <c r="K102" s="17">
        <v>42996</v>
      </c>
      <c r="L102" s="17">
        <v>43115</v>
      </c>
      <c r="M102" s="51">
        <v>715304.59000000008</v>
      </c>
      <c r="N102" s="29">
        <v>0.28000000000000003</v>
      </c>
      <c r="O102" s="29">
        <f t="shared" si="4"/>
        <v>0.45523425728514294</v>
      </c>
      <c r="P102" s="18" t="s">
        <v>9</v>
      </c>
    </row>
    <row r="103" spans="2:16" s="12" customFormat="1" ht="36">
      <c r="B103" s="13">
        <f t="shared" si="5"/>
        <v>92</v>
      </c>
      <c r="C103" s="14"/>
      <c r="D103" s="19" t="s">
        <v>258</v>
      </c>
      <c r="E103" s="20" t="s">
        <v>259</v>
      </c>
      <c r="F103" s="21" t="s">
        <v>260</v>
      </c>
      <c r="G103" s="55">
        <f t="shared" si="3"/>
        <v>2346887.02</v>
      </c>
      <c r="H103" s="39">
        <f>1229162.25+30679.46</f>
        <v>1259841.71</v>
      </c>
      <c r="I103" s="39">
        <f>1060633.29+26412.02</f>
        <v>1087045.31</v>
      </c>
      <c r="J103" s="31"/>
      <c r="K103" s="17">
        <v>42996</v>
      </c>
      <c r="L103" s="17">
        <v>43115</v>
      </c>
      <c r="M103" s="51">
        <v>365836.01</v>
      </c>
      <c r="N103" s="29">
        <v>0.08</v>
      </c>
      <c r="O103" s="29">
        <f t="shared" si="4"/>
        <v>0.33654163872893211</v>
      </c>
      <c r="P103" s="18" t="s">
        <v>9</v>
      </c>
    </row>
    <row r="104" spans="2:16" s="12" customFormat="1" ht="36">
      <c r="B104" s="13">
        <f t="shared" si="5"/>
        <v>93</v>
      </c>
      <c r="C104" s="14"/>
      <c r="D104" s="19" t="s">
        <v>261</v>
      </c>
      <c r="E104" s="20" t="s">
        <v>262</v>
      </c>
      <c r="F104" s="22" t="s">
        <v>263</v>
      </c>
      <c r="G104" s="55">
        <f t="shared" si="3"/>
        <v>5391914.5899999999</v>
      </c>
      <c r="H104" s="39">
        <f>2330939.75+87333.94</f>
        <v>2418273.69</v>
      </c>
      <c r="I104" s="39">
        <f>2866250.33+107390.57</f>
        <v>2973640.9</v>
      </c>
      <c r="J104" s="31"/>
      <c r="K104" s="17">
        <v>42996</v>
      </c>
      <c r="L104" s="17">
        <v>43115</v>
      </c>
      <c r="M104" s="51">
        <v>963041.13900000008</v>
      </c>
      <c r="N104" s="29">
        <v>0.05</v>
      </c>
      <c r="O104" s="29">
        <f t="shared" si="4"/>
        <v>0.32385925919972386</v>
      </c>
      <c r="P104" s="18" t="s">
        <v>9</v>
      </c>
    </row>
    <row r="105" spans="2:16" s="12" customFormat="1" ht="48">
      <c r="B105" s="13">
        <f t="shared" si="5"/>
        <v>94</v>
      </c>
      <c r="C105" s="14"/>
      <c r="D105" s="19" t="s">
        <v>234</v>
      </c>
      <c r="E105" s="20" t="s">
        <v>235</v>
      </c>
      <c r="F105" s="20" t="s">
        <v>236</v>
      </c>
      <c r="G105" s="55">
        <f t="shared" si="3"/>
        <v>2079194.78</v>
      </c>
      <c r="H105" s="39">
        <f>962309.04+77288.35</f>
        <v>1039597.39</v>
      </c>
      <c r="I105" s="39">
        <f>962309.04+77288.35</f>
        <v>1039597.39</v>
      </c>
      <c r="J105" s="31"/>
      <c r="K105" s="17">
        <v>42996</v>
      </c>
      <c r="L105" s="17">
        <v>43115</v>
      </c>
      <c r="M105" s="51">
        <v>449137.94199999998</v>
      </c>
      <c r="N105" s="29">
        <v>0.26</v>
      </c>
      <c r="O105" s="29">
        <f t="shared" si="4"/>
        <v>0.43203065563679416</v>
      </c>
      <c r="P105" s="18" t="s">
        <v>9</v>
      </c>
    </row>
    <row r="106" spans="2:16" s="12" customFormat="1" ht="36">
      <c r="B106" s="13">
        <f t="shared" si="5"/>
        <v>95</v>
      </c>
      <c r="C106" s="14"/>
      <c r="D106" s="19" t="s">
        <v>318</v>
      </c>
      <c r="E106" s="20" t="s">
        <v>319</v>
      </c>
      <c r="F106" s="20" t="s">
        <v>320</v>
      </c>
      <c r="G106" s="55">
        <f t="shared" si="3"/>
        <v>2608825.0700000003</v>
      </c>
      <c r="H106" s="39">
        <f>1098626.47+205786.06</f>
        <v>1304412.53</v>
      </c>
      <c r="I106" s="39">
        <f>1098626.48+205786.06</f>
        <v>1304412.54</v>
      </c>
      <c r="J106" s="28"/>
      <c r="K106" s="17">
        <v>43060</v>
      </c>
      <c r="L106" s="17">
        <v>43179</v>
      </c>
      <c r="M106" s="51">
        <v>329587.95</v>
      </c>
      <c r="N106" s="29">
        <v>0</v>
      </c>
      <c r="O106" s="29">
        <f t="shared" si="4"/>
        <v>0.25267155895327409</v>
      </c>
      <c r="P106" s="18" t="s">
        <v>9</v>
      </c>
    </row>
    <row r="107" spans="2:16" s="12" customFormat="1" ht="24">
      <c r="B107" s="13">
        <f t="shared" si="5"/>
        <v>96</v>
      </c>
      <c r="C107" s="14"/>
      <c r="D107" s="19" t="s">
        <v>241</v>
      </c>
      <c r="E107" s="20" t="s">
        <v>242</v>
      </c>
      <c r="F107" s="20" t="s">
        <v>48</v>
      </c>
      <c r="G107" s="55">
        <f t="shared" si="3"/>
        <v>2847345.8099999996</v>
      </c>
      <c r="H107" s="39">
        <v>1423672.9</v>
      </c>
      <c r="I107" s="39">
        <v>1423672.91</v>
      </c>
      <c r="J107" s="31"/>
      <c r="K107" s="17">
        <v>42996</v>
      </c>
      <c r="L107" s="17">
        <v>43115</v>
      </c>
      <c r="M107" s="51">
        <v>805425.80299999996</v>
      </c>
      <c r="N107" s="29">
        <v>0.3</v>
      </c>
      <c r="O107" s="29">
        <f t="shared" si="4"/>
        <v>0.56573795662094883</v>
      </c>
      <c r="P107" s="18" t="s">
        <v>9</v>
      </c>
    </row>
    <row r="108" spans="2:16" s="12" customFormat="1" ht="24">
      <c r="B108" s="13">
        <f t="shared" si="5"/>
        <v>97</v>
      </c>
      <c r="C108" s="14"/>
      <c r="D108" s="19" t="s">
        <v>166</v>
      </c>
      <c r="E108" s="23" t="s">
        <v>167</v>
      </c>
      <c r="F108" s="20" t="s">
        <v>48</v>
      </c>
      <c r="G108" s="55">
        <f t="shared" si="3"/>
        <v>1344460.6600000001</v>
      </c>
      <c r="H108" s="39">
        <f>595127.3+77103.03</f>
        <v>672230.33000000007</v>
      </c>
      <c r="I108" s="39">
        <f>595127.3+77103.03</f>
        <v>672230.33000000007</v>
      </c>
      <c r="J108" s="31"/>
      <c r="K108" s="17">
        <v>42979</v>
      </c>
      <c r="L108" s="17">
        <v>43074</v>
      </c>
      <c r="M108" s="51">
        <v>488656.38</v>
      </c>
      <c r="N108" s="29">
        <v>0.75</v>
      </c>
      <c r="O108" s="29">
        <f t="shared" si="4"/>
        <v>0.72691807880789905</v>
      </c>
      <c r="P108" s="18" t="s">
        <v>23</v>
      </c>
    </row>
    <row r="109" spans="2:16" s="12" customFormat="1" ht="24">
      <c r="B109" s="13">
        <f t="shared" si="5"/>
        <v>98</v>
      </c>
      <c r="C109" s="14"/>
      <c r="D109" s="19" t="s">
        <v>243</v>
      </c>
      <c r="E109" s="20" t="s">
        <v>244</v>
      </c>
      <c r="F109" s="20" t="s">
        <v>48</v>
      </c>
      <c r="G109" s="55">
        <f t="shared" si="3"/>
        <v>1115044.5999999999</v>
      </c>
      <c r="H109" s="39">
        <f>521944.16+35578.14</f>
        <v>557522.29999999993</v>
      </c>
      <c r="I109" s="39">
        <f>521944.16+35578.14</f>
        <v>557522.29999999993</v>
      </c>
      <c r="J109" s="31"/>
      <c r="K109" s="17">
        <v>43010</v>
      </c>
      <c r="L109" s="17">
        <v>43129</v>
      </c>
      <c r="M109" s="51">
        <v>289838.38</v>
      </c>
      <c r="N109" s="29">
        <v>0</v>
      </c>
      <c r="O109" s="29">
        <f t="shared" si="4"/>
        <v>0.51986867610497378</v>
      </c>
      <c r="P109" s="18" t="s">
        <v>23</v>
      </c>
    </row>
    <row r="110" spans="2:16" s="12" customFormat="1" ht="36">
      <c r="B110" s="13">
        <f t="shared" si="5"/>
        <v>99</v>
      </c>
      <c r="C110" s="14"/>
      <c r="D110" s="19" t="s">
        <v>266</v>
      </c>
      <c r="E110" s="21" t="s">
        <v>358</v>
      </c>
      <c r="F110" s="21" t="s">
        <v>359</v>
      </c>
      <c r="G110" s="55">
        <f t="shared" si="3"/>
        <v>1777231.96</v>
      </c>
      <c r="H110" s="39">
        <f>25296.61+1935.35</f>
        <v>27231.96</v>
      </c>
      <c r="I110" s="39">
        <f>1628076.85+121923.15</f>
        <v>1750000</v>
      </c>
      <c r="J110" s="31"/>
      <c r="K110" s="17">
        <v>43024</v>
      </c>
      <c r="L110" s="17">
        <v>43143</v>
      </c>
      <c r="M110" s="51">
        <v>488423.05499999999</v>
      </c>
      <c r="N110" s="29">
        <v>0</v>
      </c>
      <c r="O110" s="29">
        <f t="shared" si="4"/>
        <v>0.27909888857142856</v>
      </c>
      <c r="P110" s="18" t="s">
        <v>9</v>
      </c>
    </row>
    <row r="111" spans="2:16" s="12" customFormat="1" ht="24">
      <c r="B111" s="13">
        <f t="shared" si="5"/>
        <v>100</v>
      </c>
      <c r="C111" s="14"/>
      <c r="D111" s="19" t="s">
        <v>267</v>
      </c>
      <c r="E111" s="21" t="s">
        <v>360</v>
      </c>
      <c r="F111" s="22" t="s">
        <v>14</v>
      </c>
      <c r="G111" s="55">
        <f t="shared" si="3"/>
        <v>2918914.2199999997</v>
      </c>
      <c r="H111" s="39">
        <v>0</v>
      </c>
      <c r="I111" s="39">
        <f>2699900.36+219013.86</f>
        <v>2918914.2199999997</v>
      </c>
      <c r="J111" s="31"/>
      <c r="K111" s="17">
        <v>43024</v>
      </c>
      <c r="L111" s="17">
        <v>43143</v>
      </c>
      <c r="M111" s="51">
        <v>2140930.5299999998</v>
      </c>
      <c r="N111" s="29">
        <v>0.47</v>
      </c>
      <c r="O111" s="29">
        <f t="shared" si="4"/>
        <v>0.73346812158118169</v>
      </c>
      <c r="P111" s="18" t="s">
        <v>9</v>
      </c>
    </row>
    <row r="112" spans="2:16" s="12" customFormat="1" ht="24">
      <c r="B112" s="13">
        <f t="shared" si="5"/>
        <v>101</v>
      </c>
      <c r="C112" s="14"/>
      <c r="D112" s="19" t="s">
        <v>269</v>
      </c>
      <c r="E112" s="21" t="s">
        <v>361</v>
      </c>
      <c r="F112" s="21" t="s">
        <v>193</v>
      </c>
      <c r="G112" s="55">
        <f t="shared" si="3"/>
        <v>1980722.28</v>
      </c>
      <c r="H112" s="39">
        <f>851255.45+22045</f>
        <v>873300.45</v>
      </c>
      <c r="I112" s="39">
        <f>1079466.83+27955</f>
        <v>1107421.83</v>
      </c>
      <c r="J112" s="31"/>
      <c r="K112" s="17">
        <v>43024</v>
      </c>
      <c r="L112" s="17">
        <v>43143</v>
      </c>
      <c r="M112" s="51">
        <v>407300.56900000002</v>
      </c>
      <c r="N112" s="29">
        <v>0.11</v>
      </c>
      <c r="O112" s="29">
        <f t="shared" si="4"/>
        <v>0.36779171040903175</v>
      </c>
      <c r="P112" s="18" t="s">
        <v>9</v>
      </c>
    </row>
    <row r="113" spans="2:16" s="12" customFormat="1" ht="24">
      <c r="B113" s="13">
        <f t="shared" si="5"/>
        <v>102</v>
      </c>
      <c r="C113" s="14"/>
      <c r="D113" s="19" t="s">
        <v>270</v>
      </c>
      <c r="E113" s="21" t="s">
        <v>362</v>
      </c>
      <c r="F113" s="22" t="s">
        <v>14</v>
      </c>
      <c r="G113" s="55">
        <f t="shared" si="3"/>
        <v>2070975.3299999998</v>
      </c>
      <c r="H113" s="39"/>
      <c r="I113" s="39">
        <f>1923658.43+147316.9</f>
        <v>2070975.3299999998</v>
      </c>
      <c r="J113" s="31"/>
      <c r="K113" s="17">
        <v>43033</v>
      </c>
      <c r="L113" s="17">
        <v>43152</v>
      </c>
      <c r="M113" s="51">
        <v>1731291.719</v>
      </c>
      <c r="N113" s="29">
        <v>0.72</v>
      </c>
      <c r="O113" s="29">
        <f t="shared" si="4"/>
        <v>0.83597891965231674</v>
      </c>
      <c r="P113" s="18" t="s">
        <v>9</v>
      </c>
    </row>
    <row r="114" spans="2:16" s="12" customFormat="1" ht="24">
      <c r="B114" s="13">
        <f t="shared" si="5"/>
        <v>103</v>
      </c>
      <c r="C114" s="14"/>
      <c r="D114" s="19" t="s">
        <v>272</v>
      </c>
      <c r="E114" s="21" t="s">
        <v>363</v>
      </c>
      <c r="F114" s="22" t="s">
        <v>14</v>
      </c>
      <c r="G114" s="55">
        <f t="shared" si="3"/>
        <v>4117130.52</v>
      </c>
      <c r="H114" s="39">
        <f>3977130.52+140000</f>
        <v>4117130.52</v>
      </c>
      <c r="I114" s="32">
        <v>0</v>
      </c>
      <c r="J114" s="31"/>
      <c r="K114" s="17">
        <v>43024</v>
      </c>
      <c r="L114" s="17">
        <v>43143</v>
      </c>
      <c r="M114" s="51">
        <v>0</v>
      </c>
      <c r="N114" s="29">
        <v>0.25</v>
      </c>
      <c r="O114" s="29">
        <v>0</v>
      </c>
      <c r="P114" s="18" t="s">
        <v>9</v>
      </c>
    </row>
    <row r="115" spans="2:16" s="12" customFormat="1" ht="24">
      <c r="B115" s="13">
        <f t="shared" si="5"/>
        <v>104</v>
      </c>
      <c r="C115" s="14"/>
      <c r="D115" s="19" t="s">
        <v>273</v>
      </c>
      <c r="E115" s="21" t="s">
        <v>364</v>
      </c>
      <c r="F115" s="22" t="s">
        <v>14</v>
      </c>
      <c r="G115" s="55">
        <f t="shared" si="3"/>
        <v>6105227.4299999997</v>
      </c>
      <c r="H115" s="39">
        <f>5498892.54+606334.89</f>
        <v>6105227.4299999997</v>
      </c>
      <c r="I115" s="32">
        <v>0</v>
      </c>
      <c r="J115" s="31"/>
      <c r="K115" s="17">
        <v>43024</v>
      </c>
      <c r="L115" s="17">
        <v>43143</v>
      </c>
      <c r="M115" s="51">
        <v>0</v>
      </c>
      <c r="N115" s="29">
        <v>0.55000000000000004</v>
      </c>
      <c r="O115" s="29">
        <v>0</v>
      </c>
      <c r="P115" s="18" t="s">
        <v>9</v>
      </c>
    </row>
    <row r="116" spans="2:16" s="12" customFormat="1" ht="24">
      <c r="B116" s="13">
        <f t="shared" si="5"/>
        <v>105</v>
      </c>
      <c r="C116" s="14"/>
      <c r="D116" s="24" t="s">
        <v>323</v>
      </c>
      <c r="E116" s="21" t="s">
        <v>365</v>
      </c>
      <c r="F116" s="22" t="s">
        <v>14</v>
      </c>
      <c r="G116" s="55">
        <f t="shared" si="3"/>
        <v>2175745.96</v>
      </c>
      <c r="H116" s="39">
        <f>2150745.96+25000</f>
        <v>2175745.96</v>
      </c>
      <c r="I116" s="32"/>
      <c r="J116" s="31"/>
      <c r="K116" s="17">
        <v>43060</v>
      </c>
      <c r="L116" s="17">
        <v>43179</v>
      </c>
      <c r="M116" s="51"/>
      <c r="N116" s="29">
        <v>0</v>
      </c>
      <c r="O116" s="29">
        <v>0</v>
      </c>
      <c r="P116" s="18" t="s">
        <v>9</v>
      </c>
    </row>
    <row r="117" spans="2:16" s="12" customFormat="1" ht="36">
      <c r="B117" s="13">
        <f t="shared" si="5"/>
        <v>106</v>
      </c>
      <c r="C117" s="14"/>
      <c r="D117" s="19" t="s">
        <v>275</v>
      </c>
      <c r="E117" s="21" t="s">
        <v>366</v>
      </c>
      <c r="F117" s="22" t="s">
        <v>14</v>
      </c>
      <c r="G117" s="55">
        <f t="shared" si="3"/>
        <v>1901097.42</v>
      </c>
      <c r="H117" s="39">
        <v>554169.9</v>
      </c>
      <c r="I117" s="39">
        <v>1346927.52</v>
      </c>
      <c r="J117" s="31"/>
      <c r="K117" s="17">
        <v>43024</v>
      </c>
      <c r="L117" s="17">
        <v>43143</v>
      </c>
      <c r="M117" s="51">
        <v>404078.26</v>
      </c>
      <c r="N117" s="29">
        <v>0</v>
      </c>
      <c r="O117" s="29">
        <f t="shared" si="4"/>
        <v>0.30000000296972179</v>
      </c>
      <c r="P117" s="18" t="s">
        <v>9</v>
      </c>
    </row>
    <row r="118" spans="2:16" s="12" customFormat="1" ht="24">
      <c r="B118" s="13">
        <f t="shared" si="5"/>
        <v>107</v>
      </c>
      <c r="C118" s="14"/>
      <c r="D118" s="19" t="s">
        <v>276</v>
      </c>
      <c r="E118" s="21" t="s">
        <v>367</v>
      </c>
      <c r="F118" s="22" t="s">
        <v>14</v>
      </c>
      <c r="G118" s="55">
        <f t="shared" si="3"/>
        <v>5049477.79</v>
      </c>
      <c r="H118" s="39">
        <f>2475741.4+24760</f>
        <v>2500501.4</v>
      </c>
      <c r="I118" s="39">
        <f>2523736.39+25240</f>
        <v>2548976.39</v>
      </c>
      <c r="J118" s="31"/>
      <c r="K118" s="17">
        <v>43024</v>
      </c>
      <c r="L118" s="17">
        <v>43143</v>
      </c>
      <c r="M118" s="51">
        <v>757120.92</v>
      </c>
      <c r="N118" s="29">
        <v>0</v>
      </c>
      <c r="O118" s="29">
        <f t="shared" si="4"/>
        <v>0.29702939696510883</v>
      </c>
      <c r="P118" s="18" t="s">
        <v>9</v>
      </c>
    </row>
    <row r="119" spans="2:16" s="12" customFormat="1" ht="36">
      <c r="B119" s="13">
        <f t="shared" si="5"/>
        <v>108</v>
      </c>
      <c r="C119" s="14"/>
      <c r="D119" s="19" t="s">
        <v>277</v>
      </c>
      <c r="E119" s="21" t="s">
        <v>368</v>
      </c>
      <c r="F119" s="22" t="s">
        <v>14</v>
      </c>
      <c r="G119" s="55">
        <f t="shared" si="3"/>
        <v>6289890.9199999999</v>
      </c>
      <c r="H119" s="39">
        <f>2275220.19+170412.98</f>
        <v>2445633.17</v>
      </c>
      <c r="I119" s="39">
        <f>3576683.59+267574.16</f>
        <v>3844257.75</v>
      </c>
      <c r="J119" s="31"/>
      <c r="K119" s="17">
        <v>43024</v>
      </c>
      <c r="L119" s="17">
        <v>43143</v>
      </c>
      <c r="M119" s="51">
        <v>1470413.9300000002</v>
      </c>
      <c r="N119" s="29">
        <v>0.16</v>
      </c>
      <c r="O119" s="29">
        <f t="shared" si="4"/>
        <v>0.38249618668259178</v>
      </c>
      <c r="P119" s="18" t="s">
        <v>9</v>
      </c>
    </row>
    <row r="120" spans="2:16" s="12" customFormat="1" ht="24">
      <c r="B120" s="13">
        <f t="shared" si="5"/>
        <v>109</v>
      </c>
      <c r="C120" s="14"/>
      <c r="D120" s="19" t="s">
        <v>278</v>
      </c>
      <c r="E120" s="21" t="s">
        <v>369</v>
      </c>
      <c r="F120" s="22" t="s">
        <v>263</v>
      </c>
      <c r="G120" s="55">
        <f t="shared" si="3"/>
        <v>3668833.91</v>
      </c>
      <c r="H120" s="39">
        <f>536675.87+42633</f>
        <v>579308.87</v>
      </c>
      <c r="I120" s="39">
        <f>2862158.04+227367</f>
        <v>3089525.04</v>
      </c>
      <c r="J120" s="31"/>
      <c r="K120" s="17">
        <v>43024</v>
      </c>
      <c r="L120" s="17">
        <v>43143</v>
      </c>
      <c r="M120" s="51">
        <v>1274679.58</v>
      </c>
      <c r="N120" s="29">
        <v>0.21</v>
      </c>
      <c r="O120" s="29">
        <f t="shared" si="4"/>
        <v>0.41258108074760902</v>
      </c>
      <c r="P120" s="18" t="s">
        <v>9</v>
      </c>
    </row>
    <row r="121" spans="2:16" s="12" customFormat="1" ht="48">
      <c r="B121" s="13">
        <f t="shared" si="5"/>
        <v>110</v>
      </c>
      <c r="C121" s="14"/>
      <c r="D121" s="19" t="s">
        <v>247</v>
      </c>
      <c r="E121" s="20" t="s">
        <v>248</v>
      </c>
      <c r="F121" s="21" t="s">
        <v>236</v>
      </c>
      <c r="G121" s="55">
        <f t="shared" si="3"/>
        <v>1563015.84</v>
      </c>
      <c r="H121" s="39">
        <f>1141897.3+221118.54</f>
        <v>1363015.84</v>
      </c>
      <c r="I121" s="39">
        <f>167617.95+32382.05</f>
        <v>200000</v>
      </c>
      <c r="J121" s="31"/>
      <c r="K121" s="17">
        <v>42996</v>
      </c>
      <c r="L121" s="17">
        <v>43085</v>
      </c>
      <c r="M121" s="51">
        <v>85578.07</v>
      </c>
      <c r="N121" s="29">
        <v>0.1</v>
      </c>
      <c r="O121" s="29">
        <f t="shared" si="4"/>
        <v>0.42789035000000003</v>
      </c>
      <c r="P121" s="18" t="s">
        <v>23</v>
      </c>
    </row>
    <row r="122" spans="2:16" s="12" customFormat="1" ht="36">
      <c r="B122" s="13">
        <f t="shared" si="5"/>
        <v>111</v>
      </c>
      <c r="C122" s="14"/>
      <c r="D122" s="19" t="s">
        <v>239</v>
      </c>
      <c r="E122" s="20" t="s">
        <v>240</v>
      </c>
      <c r="F122" s="20" t="s">
        <v>370</v>
      </c>
      <c r="G122" s="55">
        <f t="shared" si="3"/>
        <v>1032065.78</v>
      </c>
      <c r="H122" s="39">
        <f>468226.92+47805.97</f>
        <v>516032.89</v>
      </c>
      <c r="I122" s="39">
        <f>468226.92+47805.97</f>
        <v>516032.89</v>
      </c>
      <c r="J122" s="31"/>
      <c r="K122" s="17">
        <v>43003</v>
      </c>
      <c r="L122" s="17">
        <v>43122</v>
      </c>
      <c r="M122" s="51">
        <v>140468.076</v>
      </c>
      <c r="N122" s="29">
        <v>0</v>
      </c>
      <c r="O122" s="29">
        <f t="shared" si="4"/>
        <v>0.27220760289135831</v>
      </c>
      <c r="P122" s="18" t="s">
        <v>23</v>
      </c>
    </row>
    <row r="123" spans="2:16" s="12" customFormat="1" ht="36">
      <c r="B123" s="13">
        <f t="shared" si="5"/>
        <v>112</v>
      </c>
      <c r="C123" s="14"/>
      <c r="D123" s="19" t="s">
        <v>183</v>
      </c>
      <c r="E123" s="23" t="s">
        <v>184</v>
      </c>
      <c r="F123" s="20" t="s">
        <v>14</v>
      </c>
      <c r="G123" s="55">
        <f t="shared" ref="G123:G186" si="6">SUM(H123:J123)</f>
        <v>1251216.1200000001</v>
      </c>
      <c r="H123" s="39">
        <f>555941.94+69666.12</f>
        <v>625608.05999999994</v>
      </c>
      <c r="I123" s="39">
        <f>555941.93+69666.13</f>
        <v>625608.06000000006</v>
      </c>
      <c r="J123" s="31"/>
      <c r="K123" s="17">
        <v>43003</v>
      </c>
      <c r="L123" s="17">
        <v>43092</v>
      </c>
      <c r="M123" s="51">
        <v>166782.57999999999</v>
      </c>
      <c r="N123" s="29">
        <v>0</v>
      </c>
      <c r="O123" s="29">
        <f t="shared" si="4"/>
        <v>0.26659276096922402</v>
      </c>
      <c r="P123" s="18" t="s">
        <v>23</v>
      </c>
    </row>
    <row r="124" spans="2:16" s="12" customFormat="1" ht="36">
      <c r="B124" s="13">
        <f t="shared" si="5"/>
        <v>113</v>
      </c>
      <c r="C124" s="14"/>
      <c r="D124" s="19" t="s">
        <v>164</v>
      </c>
      <c r="E124" s="23" t="s">
        <v>165</v>
      </c>
      <c r="F124" s="20" t="s">
        <v>14</v>
      </c>
      <c r="G124" s="55">
        <f t="shared" si="6"/>
        <v>989451.11</v>
      </c>
      <c r="H124" s="39">
        <f>474824.37+19901.18</f>
        <v>494725.55</v>
      </c>
      <c r="I124" s="39">
        <f>474824.37+19901.19</f>
        <v>494725.56</v>
      </c>
      <c r="J124" s="31"/>
      <c r="K124" s="17">
        <v>43028</v>
      </c>
      <c r="L124" s="17">
        <v>43132</v>
      </c>
      <c r="M124" s="51">
        <v>427878.02</v>
      </c>
      <c r="N124" s="29">
        <v>0.9</v>
      </c>
      <c r="O124" s="29">
        <f t="shared" si="4"/>
        <v>0.86487955059366661</v>
      </c>
      <c r="P124" s="18" t="s">
        <v>23</v>
      </c>
    </row>
    <row r="125" spans="2:16" s="12" customFormat="1" ht="24">
      <c r="B125" s="13">
        <f t="shared" si="5"/>
        <v>114</v>
      </c>
      <c r="C125" s="14"/>
      <c r="D125" s="19" t="s">
        <v>231</v>
      </c>
      <c r="E125" s="20" t="s">
        <v>232</v>
      </c>
      <c r="F125" s="20" t="s">
        <v>233</v>
      </c>
      <c r="G125" s="55">
        <f t="shared" si="6"/>
        <v>513676.06</v>
      </c>
      <c r="H125" s="39">
        <v>253345.03</v>
      </c>
      <c r="I125" s="39">
        <v>260331.03</v>
      </c>
      <c r="J125" s="31"/>
      <c r="K125" s="17">
        <v>43003</v>
      </c>
      <c r="L125" s="17">
        <v>43062</v>
      </c>
      <c r="M125" s="51">
        <v>234176.86900000001</v>
      </c>
      <c r="N125" s="29">
        <v>0</v>
      </c>
      <c r="O125" s="29">
        <f t="shared" si="4"/>
        <v>0.89953498436202561</v>
      </c>
      <c r="P125" s="18" t="s">
        <v>23</v>
      </c>
    </row>
    <row r="126" spans="2:16" s="12" customFormat="1" ht="24">
      <c r="B126" s="13">
        <f t="shared" si="5"/>
        <v>115</v>
      </c>
      <c r="C126" s="14"/>
      <c r="D126" s="19" t="s">
        <v>237</v>
      </c>
      <c r="E126" s="20" t="s">
        <v>238</v>
      </c>
      <c r="F126" s="20" t="s">
        <v>178</v>
      </c>
      <c r="G126" s="55">
        <f t="shared" si="6"/>
        <v>995079.63</v>
      </c>
      <c r="H126" s="39">
        <f>490810.92+6728.89</f>
        <v>497539.81</v>
      </c>
      <c r="I126" s="39">
        <f>490810.92+6728.9</f>
        <v>497539.82</v>
      </c>
      <c r="J126" s="31"/>
      <c r="K126" s="17">
        <v>43028</v>
      </c>
      <c r="L126" s="17">
        <v>43117</v>
      </c>
      <c r="M126" s="51">
        <v>181217.78999999998</v>
      </c>
      <c r="N126" s="29">
        <v>0.09</v>
      </c>
      <c r="O126" s="29">
        <f t="shared" si="4"/>
        <v>0.36422771146237093</v>
      </c>
      <c r="P126" s="18" t="s">
        <v>23</v>
      </c>
    </row>
    <row r="127" spans="2:16" s="12" customFormat="1" ht="24">
      <c r="B127" s="13">
        <f t="shared" si="5"/>
        <v>116</v>
      </c>
      <c r="C127" s="14"/>
      <c r="D127" s="19" t="s">
        <v>268</v>
      </c>
      <c r="E127" s="21" t="s">
        <v>371</v>
      </c>
      <c r="F127" s="21" t="s">
        <v>193</v>
      </c>
      <c r="G127" s="55">
        <f t="shared" si="6"/>
        <v>1313703.4000000001</v>
      </c>
      <c r="H127" s="39">
        <f>818764.64+25947.54</f>
        <v>844712.18</v>
      </c>
      <c r="I127" s="39">
        <f>454586.27+14404.95</f>
        <v>468991.22000000003</v>
      </c>
      <c r="J127" s="31"/>
      <c r="K127" s="17">
        <v>43003</v>
      </c>
      <c r="L127" s="17">
        <v>43092</v>
      </c>
      <c r="M127" s="51">
        <v>400766.13099999999</v>
      </c>
      <c r="N127" s="29">
        <v>0.88</v>
      </c>
      <c r="O127" s="29">
        <f t="shared" si="4"/>
        <v>0.85452800374386528</v>
      </c>
      <c r="P127" s="18" t="s">
        <v>23</v>
      </c>
    </row>
    <row r="128" spans="2:16" s="12" customFormat="1" ht="24">
      <c r="B128" s="13">
        <f t="shared" si="5"/>
        <v>117</v>
      </c>
      <c r="C128" s="14"/>
      <c r="D128" s="19" t="s">
        <v>265</v>
      </c>
      <c r="E128" s="21" t="s">
        <v>372</v>
      </c>
      <c r="F128" s="22" t="s">
        <v>14</v>
      </c>
      <c r="G128" s="55">
        <f t="shared" si="6"/>
        <v>1546731.29</v>
      </c>
      <c r="H128" s="39">
        <f>728910.9+38267.82</f>
        <v>767178.72</v>
      </c>
      <c r="I128" s="39">
        <f>740667.52+38885.05</f>
        <v>779552.57000000007</v>
      </c>
      <c r="J128" s="31"/>
      <c r="K128" s="17">
        <v>43003</v>
      </c>
      <c r="L128" s="17">
        <v>43107</v>
      </c>
      <c r="M128" s="51">
        <v>222200.25599999999</v>
      </c>
      <c r="N128" s="29">
        <v>0</v>
      </c>
      <c r="O128" s="29">
        <f t="shared" si="4"/>
        <v>0.28503562755235351</v>
      </c>
      <c r="P128" s="18" t="s">
        <v>23</v>
      </c>
    </row>
    <row r="129" spans="2:16" s="12" customFormat="1" ht="48">
      <c r="B129" s="13">
        <f t="shared" si="5"/>
        <v>118</v>
      </c>
      <c r="C129" s="14"/>
      <c r="D129" s="19" t="s">
        <v>281</v>
      </c>
      <c r="E129" s="21" t="s">
        <v>373</v>
      </c>
      <c r="F129" s="21" t="s">
        <v>374</v>
      </c>
      <c r="G129" s="55">
        <f t="shared" si="6"/>
        <v>274322.24</v>
      </c>
      <c r="H129" s="39">
        <v>175127.32</v>
      </c>
      <c r="I129" s="39">
        <v>99194.92</v>
      </c>
      <c r="J129" s="31"/>
      <c r="K129" s="17">
        <v>43003</v>
      </c>
      <c r="L129" s="17">
        <v>43092</v>
      </c>
      <c r="M129" s="51">
        <v>90407.37999999999</v>
      </c>
      <c r="N129" s="29">
        <v>0.87</v>
      </c>
      <c r="O129" s="29">
        <f t="shared" si="4"/>
        <v>0.91141139082525591</v>
      </c>
      <c r="P129" s="18" t="s">
        <v>23</v>
      </c>
    </row>
    <row r="130" spans="2:16" s="12" customFormat="1" ht="48">
      <c r="B130" s="13">
        <f t="shared" si="5"/>
        <v>119</v>
      </c>
      <c r="C130" s="14"/>
      <c r="D130" s="19" t="s">
        <v>280</v>
      </c>
      <c r="E130" s="21" t="s">
        <v>375</v>
      </c>
      <c r="F130" s="21" t="s">
        <v>374</v>
      </c>
      <c r="G130" s="55">
        <f t="shared" si="6"/>
        <v>329135.35999999999</v>
      </c>
      <c r="H130" s="39">
        <v>229135.35999999999</v>
      </c>
      <c r="I130" s="39">
        <v>100000</v>
      </c>
      <c r="J130" s="31"/>
      <c r="K130" s="17">
        <v>43003</v>
      </c>
      <c r="L130" s="17">
        <v>43092</v>
      </c>
      <c r="M130" s="51">
        <v>79916.66</v>
      </c>
      <c r="N130" s="29">
        <v>0.9</v>
      </c>
      <c r="O130" s="29">
        <f t="shared" si="4"/>
        <v>0.79916660000000006</v>
      </c>
      <c r="P130" s="18" t="s">
        <v>23</v>
      </c>
    </row>
    <row r="131" spans="2:16" s="12" customFormat="1" ht="24">
      <c r="B131" s="13">
        <f t="shared" si="5"/>
        <v>120</v>
      </c>
      <c r="C131" s="14"/>
      <c r="D131" s="19" t="s">
        <v>264</v>
      </c>
      <c r="E131" s="21" t="s">
        <v>376</v>
      </c>
      <c r="F131" s="22" t="s">
        <v>14</v>
      </c>
      <c r="G131" s="55">
        <f t="shared" si="6"/>
        <v>1348873.47</v>
      </c>
      <c r="H131" s="39">
        <f>322126.47+58269.02</f>
        <v>380395.49</v>
      </c>
      <c r="I131" s="39">
        <f>820165.97+148312.01</f>
        <v>968477.98</v>
      </c>
      <c r="J131" s="31"/>
      <c r="K131" s="17">
        <v>43012</v>
      </c>
      <c r="L131" s="17">
        <v>43101</v>
      </c>
      <c r="M131" s="51">
        <v>463061.701</v>
      </c>
      <c r="N131" s="29">
        <v>0.55000000000000004</v>
      </c>
      <c r="O131" s="29">
        <f t="shared" si="4"/>
        <v>0.47813343262590235</v>
      </c>
      <c r="P131" s="18" t="s">
        <v>23</v>
      </c>
    </row>
    <row r="132" spans="2:16" s="12" customFormat="1" ht="24">
      <c r="B132" s="13">
        <f t="shared" si="5"/>
        <v>121</v>
      </c>
      <c r="C132" s="14"/>
      <c r="D132" s="19" t="s">
        <v>271</v>
      </c>
      <c r="E132" s="21" t="s">
        <v>377</v>
      </c>
      <c r="F132" s="22" t="s">
        <v>14</v>
      </c>
      <c r="G132" s="55">
        <f t="shared" si="6"/>
        <v>1446956.44</v>
      </c>
      <c r="H132" s="39"/>
      <c r="I132" s="39">
        <f>1346411.43+100545.01</f>
        <v>1446956.44</v>
      </c>
      <c r="J132" s="31"/>
      <c r="K132" s="17">
        <v>43010</v>
      </c>
      <c r="L132" s="17">
        <v>43109</v>
      </c>
      <c r="M132" s="51">
        <v>403923.43</v>
      </c>
      <c r="N132" s="29">
        <v>0</v>
      </c>
      <c r="O132" s="29">
        <f t="shared" si="4"/>
        <v>0.27915382856998794</v>
      </c>
      <c r="P132" s="18" t="s">
        <v>23</v>
      </c>
    </row>
    <row r="133" spans="2:16" s="12" customFormat="1" ht="24">
      <c r="B133" s="13">
        <f t="shared" si="5"/>
        <v>122</v>
      </c>
      <c r="C133" s="14"/>
      <c r="D133" s="19" t="s">
        <v>274</v>
      </c>
      <c r="E133" s="21" t="s">
        <v>378</v>
      </c>
      <c r="F133" s="21" t="s">
        <v>95</v>
      </c>
      <c r="G133" s="55">
        <f t="shared" si="6"/>
        <v>325936.45999999996</v>
      </c>
      <c r="H133" s="39">
        <f>160046.83+15013.65</f>
        <v>175060.47999999998</v>
      </c>
      <c r="I133" s="39">
        <f>137936.46+12939.52</f>
        <v>150875.97999999998</v>
      </c>
      <c r="J133" s="31"/>
      <c r="K133" s="17">
        <v>43017</v>
      </c>
      <c r="L133" s="17">
        <v>43106</v>
      </c>
      <c r="M133" s="51">
        <v>67834.760000000009</v>
      </c>
      <c r="N133" s="29">
        <v>0.42</v>
      </c>
      <c r="O133" s="29">
        <f t="shared" si="4"/>
        <v>0.44960609369364174</v>
      </c>
      <c r="P133" s="18" t="s">
        <v>23</v>
      </c>
    </row>
    <row r="134" spans="2:16" s="12" customFormat="1" ht="24">
      <c r="B134" s="13">
        <f t="shared" si="5"/>
        <v>123</v>
      </c>
      <c r="C134" s="14"/>
      <c r="D134" s="19" t="s">
        <v>279</v>
      </c>
      <c r="E134" s="21" t="s">
        <v>379</v>
      </c>
      <c r="F134" s="22" t="s">
        <v>48</v>
      </c>
      <c r="G134" s="55">
        <f t="shared" si="6"/>
        <v>1469797.55</v>
      </c>
      <c r="H134" s="39">
        <f>572135.72+33220.29</f>
        <v>605356.01</v>
      </c>
      <c r="I134" s="39">
        <f>816880.35+47561.19</f>
        <v>864441.54</v>
      </c>
      <c r="J134" s="31"/>
      <c r="K134" s="17">
        <v>43017</v>
      </c>
      <c r="L134" s="17">
        <v>42751</v>
      </c>
      <c r="M134" s="51">
        <v>453561.02</v>
      </c>
      <c r="N134" s="29">
        <v>0.39</v>
      </c>
      <c r="O134" s="29">
        <f t="shared" si="4"/>
        <v>0.52468674746935462</v>
      </c>
      <c r="P134" s="18" t="s">
        <v>23</v>
      </c>
    </row>
    <row r="135" spans="2:16" s="12" customFormat="1" ht="27" customHeight="1">
      <c r="B135" s="13">
        <f t="shared" si="5"/>
        <v>124</v>
      </c>
      <c r="C135" s="14"/>
      <c r="D135" s="19" t="s">
        <v>245</v>
      </c>
      <c r="E135" s="20" t="s">
        <v>246</v>
      </c>
      <c r="F135" s="20" t="s">
        <v>48</v>
      </c>
      <c r="G135" s="55">
        <f t="shared" si="6"/>
        <v>787086.1</v>
      </c>
      <c r="H135" s="39">
        <f>353437.56+40105.49</f>
        <v>393543.05</v>
      </c>
      <c r="I135" s="39">
        <f>353437.57+40105.48</f>
        <v>393543.05</v>
      </c>
      <c r="J135" s="31"/>
      <c r="K135" s="17">
        <v>43024</v>
      </c>
      <c r="L135" s="17">
        <v>43128</v>
      </c>
      <c r="M135" s="51">
        <v>106031.27099999999</v>
      </c>
      <c r="N135" s="29">
        <v>0</v>
      </c>
      <c r="O135" s="29">
        <f t="shared" si="4"/>
        <v>0.2694273752261665</v>
      </c>
      <c r="P135" s="18" t="s">
        <v>23</v>
      </c>
    </row>
    <row r="136" spans="2:16" s="12" customFormat="1" ht="48">
      <c r="B136" s="13">
        <f t="shared" si="5"/>
        <v>125</v>
      </c>
      <c r="C136" s="14"/>
      <c r="D136" s="25" t="s">
        <v>344</v>
      </c>
      <c r="E136" s="21" t="s">
        <v>380</v>
      </c>
      <c r="F136" s="21" t="s">
        <v>381</v>
      </c>
      <c r="G136" s="55">
        <f t="shared" si="6"/>
        <v>20000000</v>
      </c>
      <c r="H136" s="39"/>
      <c r="I136" s="39">
        <f>17638991.74+2361008.26</f>
        <v>20000000</v>
      </c>
      <c r="J136" s="31"/>
      <c r="K136" s="17">
        <v>43054</v>
      </c>
      <c r="L136" s="17">
        <v>43233</v>
      </c>
      <c r="M136" s="51">
        <v>8819495.8699999992</v>
      </c>
      <c r="N136" s="29">
        <v>0</v>
      </c>
      <c r="O136" s="29">
        <f t="shared" si="4"/>
        <v>0.44097479349999996</v>
      </c>
      <c r="P136" s="18" t="s">
        <v>129</v>
      </c>
    </row>
    <row r="137" spans="2:16" s="12" customFormat="1" ht="36">
      <c r="B137" s="13">
        <f t="shared" si="5"/>
        <v>126</v>
      </c>
      <c r="C137" s="14"/>
      <c r="D137" s="24" t="s">
        <v>324</v>
      </c>
      <c r="E137" s="21" t="s">
        <v>382</v>
      </c>
      <c r="F137" s="22" t="s">
        <v>14</v>
      </c>
      <c r="G137" s="55">
        <f t="shared" si="6"/>
        <v>3641910.0599999996</v>
      </c>
      <c r="H137" s="39">
        <f>2231182.46+94516.61</f>
        <v>2325699.0699999998</v>
      </c>
      <c r="I137" s="39">
        <f>1262682.97+53528.02</f>
        <v>1316210.99</v>
      </c>
      <c r="J137" s="31"/>
      <c r="K137" s="17">
        <v>43060</v>
      </c>
      <c r="L137" s="17">
        <v>43179</v>
      </c>
      <c r="M137" s="51">
        <v>455988.14</v>
      </c>
      <c r="N137" s="29">
        <v>0.09</v>
      </c>
      <c r="O137" s="29">
        <f t="shared" si="4"/>
        <v>0.34644000351341847</v>
      </c>
      <c r="P137" s="18" t="s">
        <v>9</v>
      </c>
    </row>
    <row r="138" spans="2:16" s="12" customFormat="1" ht="36">
      <c r="B138" s="13">
        <f t="shared" si="5"/>
        <v>127</v>
      </c>
      <c r="C138" s="14"/>
      <c r="D138" s="24" t="s">
        <v>325</v>
      </c>
      <c r="E138" s="21" t="s">
        <v>383</v>
      </c>
      <c r="F138" s="22" t="s">
        <v>320</v>
      </c>
      <c r="G138" s="55">
        <f t="shared" si="6"/>
        <v>2499192.8099999996</v>
      </c>
      <c r="H138" s="39">
        <f>386335.22+16130.51</f>
        <v>402465.73</v>
      </c>
      <c r="I138" s="39">
        <f>2013262.44+83464.64</f>
        <v>2096727.0799999998</v>
      </c>
      <c r="J138" s="31"/>
      <c r="K138" s="17">
        <v>43060</v>
      </c>
      <c r="L138" s="17">
        <v>43179</v>
      </c>
      <c r="M138" s="51">
        <v>603978.73</v>
      </c>
      <c r="N138" s="29">
        <v>0</v>
      </c>
      <c r="O138" s="29">
        <f t="shared" si="4"/>
        <v>0.28805786683501033</v>
      </c>
      <c r="P138" s="18" t="s">
        <v>9</v>
      </c>
    </row>
    <row r="139" spans="2:16" s="12" customFormat="1" ht="24">
      <c r="B139" s="13">
        <f t="shared" si="5"/>
        <v>128</v>
      </c>
      <c r="C139" s="14"/>
      <c r="D139" s="24" t="s">
        <v>327</v>
      </c>
      <c r="E139" s="21" t="s">
        <v>384</v>
      </c>
      <c r="F139" s="21" t="s">
        <v>178</v>
      </c>
      <c r="G139" s="55">
        <f t="shared" si="6"/>
        <v>1641569.1199999999</v>
      </c>
      <c r="H139" s="39">
        <f>965935.36+53883.5</f>
        <v>1019818.86</v>
      </c>
      <c r="I139" s="39">
        <f>589015.32+32734.94</f>
        <v>621750.25999999989</v>
      </c>
      <c r="J139" s="31"/>
      <c r="K139" s="17">
        <v>43060</v>
      </c>
      <c r="L139" s="17">
        <v>43179</v>
      </c>
      <c r="M139" s="51">
        <v>176704.6</v>
      </c>
      <c r="N139" s="29">
        <v>0</v>
      </c>
      <c r="O139" s="29">
        <f t="shared" si="4"/>
        <v>0.28420510833401186</v>
      </c>
      <c r="P139" s="18" t="s">
        <v>9</v>
      </c>
    </row>
    <row r="140" spans="2:16" s="12" customFormat="1" ht="24">
      <c r="B140" s="13">
        <f t="shared" si="5"/>
        <v>129</v>
      </c>
      <c r="C140" s="14"/>
      <c r="D140" s="24" t="s">
        <v>328</v>
      </c>
      <c r="E140" s="21" t="s">
        <v>385</v>
      </c>
      <c r="F140" s="21" t="s">
        <v>386</v>
      </c>
      <c r="G140" s="55">
        <f t="shared" si="6"/>
        <v>3180181.42</v>
      </c>
      <c r="H140" s="39">
        <f>984934.74+95246.68</f>
        <v>1080181.42</v>
      </c>
      <c r="I140" s="39">
        <f>1914490.47+185509.53</f>
        <v>2100000</v>
      </c>
      <c r="J140" s="31"/>
      <c r="K140" s="17">
        <v>43060</v>
      </c>
      <c r="L140" s="17">
        <v>43179</v>
      </c>
      <c r="M140" s="51">
        <v>759983.03</v>
      </c>
      <c r="N140" s="29">
        <v>0.14000000000000001</v>
      </c>
      <c r="O140" s="29">
        <f t="shared" si="4"/>
        <v>0.36189668095238098</v>
      </c>
      <c r="P140" s="18" t="s">
        <v>9</v>
      </c>
    </row>
    <row r="141" spans="2:16" s="12" customFormat="1" ht="24">
      <c r="B141" s="13">
        <f t="shared" si="5"/>
        <v>130</v>
      </c>
      <c r="C141" s="14"/>
      <c r="D141" s="24" t="s">
        <v>329</v>
      </c>
      <c r="E141" s="21" t="s">
        <v>387</v>
      </c>
      <c r="F141" s="21" t="s">
        <v>178</v>
      </c>
      <c r="G141" s="55">
        <f t="shared" si="6"/>
        <v>3945917.45</v>
      </c>
      <c r="H141" s="39">
        <f>1570647.79+125269.96</f>
        <v>1695917.75</v>
      </c>
      <c r="I141" s="39">
        <f>2083721.19+166278.51</f>
        <v>2249999.7000000002</v>
      </c>
      <c r="J141" s="31"/>
      <c r="K141" s="17">
        <v>43060</v>
      </c>
      <c r="L141" s="17">
        <v>43179</v>
      </c>
      <c r="M141" s="51">
        <v>625116.36</v>
      </c>
      <c r="N141" s="29">
        <v>0</v>
      </c>
      <c r="O141" s="29">
        <f t="shared" ref="O141:O197" si="7">+M141/I141</f>
        <v>0.27782953037727071</v>
      </c>
      <c r="P141" s="18" t="s">
        <v>9</v>
      </c>
    </row>
    <row r="142" spans="2:16" s="12" customFormat="1" ht="36">
      <c r="B142" s="13">
        <f t="shared" ref="B142:B205" si="8">+B141+1</f>
        <v>131</v>
      </c>
      <c r="C142" s="14"/>
      <c r="D142" s="24" t="s">
        <v>330</v>
      </c>
      <c r="E142" s="21" t="s">
        <v>388</v>
      </c>
      <c r="F142" s="21" t="s">
        <v>389</v>
      </c>
      <c r="G142" s="55">
        <f t="shared" si="6"/>
        <v>3098851.06</v>
      </c>
      <c r="H142" s="39">
        <v>1500000</v>
      </c>
      <c r="I142" s="39">
        <v>1500000</v>
      </c>
      <c r="J142" s="33">
        <v>98851.06</v>
      </c>
      <c r="K142" s="17">
        <v>43091</v>
      </c>
      <c r="L142" s="17">
        <v>43210</v>
      </c>
      <c r="M142" s="51">
        <v>450000.01</v>
      </c>
      <c r="N142" s="29">
        <v>0</v>
      </c>
      <c r="O142" s="29">
        <f t="shared" si="7"/>
        <v>0.30000000666666665</v>
      </c>
      <c r="P142" s="18" t="s">
        <v>9</v>
      </c>
    </row>
    <row r="143" spans="2:16" s="12" customFormat="1" ht="24">
      <c r="B143" s="13">
        <f t="shared" si="8"/>
        <v>132</v>
      </c>
      <c r="C143" s="14"/>
      <c r="D143" s="24" t="s">
        <v>331</v>
      </c>
      <c r="E143" s="21" t="s">
        <v>390</v>
      </c>
      <c r="F143" s="21" t="s">
        <v>77</v>
      </c>
      <c r="G143" s="55">
        <f t="shared" si="6"/>
        <v>2625357.86</v>
      </c>
      <c r="H143" s="39">
        <f>467885.97+4678.45</f>
        <v>472564.42</v>
      </c>
      <c r="I143" s="39">
        <f>2131480.51+21312.93</f>
        <v>2152793.44</v>
      </c>
      <c r="J143" s="31"/>
      <c r="K143" s="17">
        <v>43060</v>
      </c>
      <c r="L143" s="17">
        <v>43179</v>
      </c>
      <c r="M143" s="51">
        <v>639444.14</v>
      </c>
      <c r="N143" s="29">
        <v>0</v>
      </c>
      <c r="O143" s="29">
        <f t="shared" si="7"/>
        <v>0.29702995564683626</v>
      </c>
      <c r="P143" s="18" t="s">
        <v>9</v>
      </c>
    </row>
    <row r="144" spans="2:16" s="12" customFormat="1" ht="36">
      <c r="B144" s="13">
        <f t="shared" si="8"/>
        <v>133</v>
      </c>
      <c r="C144" s="14"/>
      <c r="D144" s="24" t="s">
        <v>332</v>
      </c>
      <c r="E144" s="21" t="s">
        <v>391</v>
      </c>
      <c r="F144" s="21" t="s">
        <v>236</v>
      </c>
      <c r="G144" s="55">
        <f t="shared" si="6"/>
        <v>1959994.49</v>
      </c>
      <c r="H144" s="39">
        <f>959994.49+20002.75</f>
        <v>979997.24</v>
      </c>
      <c r="I144" s="39">
        <f>959994.49+20002.76</f>
        <v>979997.25</v>
      </c>
      <c r="J144" s="31"/>
      <c r="K144" s="17">
        <v>43060</v>
      </c>
      <c r="L144" s="17">
        <v>43179</v>
      </c>
      <c r="M144" s="51">
        <v>287998.34000000003</v>
      </c>
      <c r="N144" s="29">
        <v>0</v>
      </c>
      <c r="O144" s="29">
        <f t="shared" si="7"/>
        <v>0.2938766817968112</v>
      </c>
      <c r="P144" s="18" t="s">
        <v>9</v>
      </c>
    </row>
    <row r="145" spans="2:16" s="12" customFormat="1" ht="24">
      <c r="B145" s="13">
        <f t="shared" si="8"/>
        <v>134</v>
      </c>
      <c r="C145" s="14"/>
      <c r="D145" s="24" t="s">
        <v>333</v>
      </c>
      <c r="E145" s="21" t="s">
        <v>392</v>
      </c>
      <c r="F145" s="21" t="s">
        <v>393</v>
      </c>
      <c r="G145" s="55">
        <f t="shared" si="6"/>
        <v>6319241.4100000001</v>
      </c>
      <c r="H145" s="39">
        <f>4341034.66+328206.75</f>
        <v>4669241.41</v>
      </c>
      <c r="I145" s="39">
        <f>1533961.49+116038.51</f>
        <v>1650000</v>
      </c>
      <c r="J145" s="31"/>
      <c r="K145" s="17">
        <v>43075</v>
      </c>
      <c r="L145" s="17">
        <v>43194</v>
      </c>
      <c r="M145" s="51">
        <v>460188.45</v>
      </c>
      <c r="N145" s="29">
        <v>0</v>
      </c>
      <c r="O145" s="29">
        <f t="shared" si="7"/>
        <v>0.27890209090909091</v>
      </c>
      <c r="P145" s="18" t="s">
        <v>9</v>
      </c>
    </row>
    <row r="146" spans="2:16" s="12" customFormat="1" ht="36">
      <c r="B146" s="13">
        <f t="shared" si="8"/>
        <v>135</v>
      </c>
      <c r="C146" s="14"/>
      <c r="D146" s="24" t="s">
        <v>335</v>
      </c>
      <c r="E146" s="21" t="s">
        <v>394</v>
      </c>
      <c r="F146" s="21" t="s">
        <v>236</v>
      </c>
      <c r="G146" s="55">
        <f t="shared" si="6"/>
        <v>2103994.54</v>
      </c>
      <c r="H146" s="39">
        <f>1951753.27+152241.27</f>
        <v>2103994.54</v>
      </c>
      <c r="I146" s="39"/>
      <c r="J146" s="31"/>
      <c r="K146" s="17">
        <v>43091</v>
      </c>
      <c r="L146" s="17" t="s">
        <v>337</v>
      </c>
      <c r="M146" s="51">
        <v>0</v>
      </c>
      <c r="N146" s="29">
        <v>0</v>
      </c>
      <c r="O146" s="29">
        <v>0</v>
      </c>
      <c r="P146" s="18" t="s">
        <v>9</v>
      </c>
    </row>
    <row r="147" spans="2:16" s="12" customFormat="1" ht="48">
      <c r="B147" s="13">
        <f t="shared" si="8"/>
        <v>136</v>
      </c>
      <c r="C147" s="14"/>
      <c r="D147" s="24" t="s">
        <v>336</v>
      </c>
      <c r="E147" s="21" t="s">
        <v>395</v>
      </c>
      <c r="F147" s="21" t="s">
        <v>396</v>
      </c>
      <c r="G147" s="55">
        <f t="shared" si="6"/>
        <v>2052749.15</v>
      </c>
      <c r="H147" s="39">
        <f>607278.71+45470.44</f>
        <v>652749.14999999991</v>
      </c>
      <c r="I147" s="39">
        <f>1302402.76+97597.24</f>
        <v>1400000</v>
      </c>
      <c r="J147" s="31"/>
      <c r="K147" s="17">
        <v>43060</v>
      </c>
      <c r="L147" s="17">
        <v>43179</v>
      </c>
      <c r="M147" s="51">
        <v>390720.83</v>
      </c>
      <c r="N147" s="29">
        <v>0</v>
      </c>
      <c r="O147" s="29">
        <f t="shared" si="7"/>
        <v>0.27908630714285715</v>
      </c>
      <c r="P147" s="18" t="s">
        <v>9</v>
      </c>
    </row>
    <row r="148" spans="2:16" s="12" customFormat="1" ht="30" customHeight="1">
      <c r="B148" s="13">
        <f t="shared" si="8"/>
        <v>137</v>
      </c>
      <c r="C148" s="14"/>
      <c r="D148" s="24" t="s">
        <v>338</v>
      </c>
      <c r="E148" s="21" t="s">
        <v>397</v>
      </c>
      <c r="F148" s="21" t="s">
        <v>14</v>
      </c>
      <c r="G148" s="55">
        <f t="shared" si="6"/>
        <v>2595303.84</v>
      </c>
      <c r="H148" s="39">
        <f>1320336.82+78099.22</f>
        <v>1398436.04</v>
      </c>
      <c r="I148" s="39">
        <f>1130176.96+66690.84</f>
        <v>1196867.8</v>
      </c>
      <c r="J148" s="31"/>
      <c r="K148" s="17">
        <v>43068</v>
      </c>
      <c r="L148" s="17">
        <v>43187</v>
      </c>
      <c r="M148" s="51">
        <v>339053.08</v>
      </c>
      <c r="N148" s="29">
        <v>0</v>
      </c>
      <c r="O148" s="29">
        <f t="shared" si="7"/>
        <v>0.28328365087606167</v>
      </c>
      <c r="P148" s="18" t="s">
        <v>9</v>
      </c>
    </row>
    <row r="149" spans="2:16" s="12" customFormat="1" ht="48">
      <c r="B149" s="13">
        <f t="shared" si="8"/>
        <v>138</v>
      </c>
      <c r="C149" s="14"/>
      <c r="D149" s="24" t="s">
        <v>339</v>
      </c>
      <c r="E149" s="21" t="s">
        <v>398</v>
      </c>
      <c r="F149" s="21" t="s">
        <v>381</v>
      </c>
      <c r="G149" s="55">
        <f t="shared" si="6"/>
        <v>2284203.7700000005</v>
      </c>
      <c r="H149" s="39">
        <f>1062463.77+79638.11</f>
        <v>1142101.8800000001</v>
      </c>
      <c r="I149" s="39">
        <f>1062463.77+79638.12</f>
        <v>1142101.8900000001</v>
      </c>
      <c r="J149" s="31"/>
      <c r="K149" s="17">
        <v>43060</v>
      </c>
      <c r="L149" s="17">
        <v>43179</v>
      </c>
      <c r="M149" s="51">
        <v>318739.13</v>
      </c>
      <c r="N149" s="29">
        <v>0</v>
      </c>
      <c r="O149" s="29">
        <f t="shared" si="7"/>
        <v>0.27908116849364462</v>
      </c>
      <c r="P149" s="18" t="s">
        <v>9</v>
      </c>
    </row>
    <row r="150" spans="2:16" s="12" customFormat="1" ht="48">
      <c r="B150" s="13">
        <f t="shared" si="8"/>
        <v>139</v>
      </c>
      <c r="C150" s="14"/>
      <c r="D150" s="24" t="s">
        <v>340</v>
      </c>
      <c r="E150" s="21" t="s">
        <v>399</v>
      </c>
      <c r="F150" s="21" t="s">
        <v>381</v>
      </c>
      <c r="G150" s="55">
        <f t="shared" si="6"/>
        <v>7917545.9199999999</v>
      </c>
      <c r="H150" s="39">
        <f>5374302.76+300139.29</f>
        <v>5674442.0499999998</v>
      </c>
      <c r="I150" s="39">
        <f>2124375.57+118728.3</f>
        <v>2243103.8699999996</v>
      </c>
      <c r="J150" s="31"/>
      <c r="K150" s="17">
        <v>43060</v>
      </c>
      <c r="L150" s="17">
        <v>43179</v>
      </c>
      <c r="M150" s="51">
        <v>637312.67000000004</v>
      </c>
      <c r="N150" s="29">
        <v>0</v>
      </c>
      <c r="O150" s="29">
        <f t="shared" si="7"/>
        <v>0.28412089093315157</v>
      </c>
      <c r="P150" s="18" t="s">
        <v>9</v>
      </c>
    </row>
    <row r="151" spans="2:16" s="12" customFormat="1" ht="48">
      <c r="B151" s="13">
        <f t="shared" si="8"/>
        <v>140</v>
      </c>
      <c r="C151" s="14"/>
      <c r="D151" s="24" t="s">
        <v>341</v>
      </c>
      <c r="E151" s="21" t="s">
        <v>400</v>
      </c>
      <c r="F151" s="21" t="s">
        <v>381</v>
      </c>
      <c r="G151" s="55">
        <f t="shared" si="6"/>
        <v>3282780.72</v>
      </c>
      <c r="H151" s="39">
        <f>1526726.82+114663.54</f>
        <v>1641390.36</v>
      </c>
      <c r="I151" s="39">
        <f>1526726.82+114663.54</f>
        <v>1641390.36</v>
      </c>
      <c r="J151" s="31"/>
      <c r="K151" s="17">
        <v>43060</v>
      </c>
      <c r="L151" s="17">
        <v>43179</v>
      </c>
      <c r="M151" s="51">
        <v>458018.05</v>
      </c>
      <c r="N151" s="29">
        <v>0</v>
      </c>
      <c r="O151" s="29">
        <f t="shared" si="7"/>
        <v>0.27904273179720634</v>
      </c>
      <c r="P151" s="18" t="s">
        <v>9</v>
      </c>
    </row>
    <row r="152" spans="2:16" s="12" customFormat="1" ht="36">
      <c r="B152" s="13">
        <f t="shared" si="8"/>
        <v>141</v>
      </c>
      <c r="C152" s="14"/>
      <c r="D152" s="24" t="s">
        <v>342</v>
      </c>
      <c r="E152" s="21" t="s">
        <v>401</v>
      </c>
      <c r="F152" s="21" t="s">
        <v>260</v>
      </c>
      <c r="G152" s="55">
        <f t="shared" si="6"/>
        <v>5420607.9000000004</v>
      </c>
      <c r="H152" s="41">
        <f>2857164.38+63443.52</f>
        <v>2920607.9</v>
      </c>
      <c r="I152" s="41">
        <f>2445664.83+54335.17</f>
        <v>2500000</v>
      </c>
      <c r="J152" s="31"/>
      <c r="K152" s="17">
        <v>43091</v>
      </c>
      <c r="L152" s="17">
        <v>43210</v>
      </c>
      <c r="M152" s="51">
        <v>733699.45</v>
      </c>
      <c r="N152" s="29">
        <v>0</v>
      </c>
      <c r="O152" s="29">
        <f t="shared" si="7"/>
        <v>0.29347977999999997</v>
      </c>
      <c r="P152" s="18" t="s">
        <v>9</v>
      </c>
    </row>
    <row r="153" spans="2:16" s="12" customFormat="1" ht="60">
      <c r="B153" s="13">
        <f t="shared" si="8"/>
        <v>142</v>
      </c>
      <c r="C153" s="14"/>
      <c r="D153" s="24" t="s">
        <v>343</v>
      </c>
      <c r="E153" s="21" t="s">
        <v>402</v>
      </c>
      <c r="F153" s="21" t="s">
        <v>381</v>
      </c>
      <c r="G153" s="55">
        <f t="shared" si="6"/>
        <v>3682814.5999999996</v>
      </c>
      <c r="H153" s="39">
        <f>2398719.22+65313.82</f>
        <v>2464033.04</v>
      </c>
      <c r="I153" s="39">
        <f>1186274.38+32507.18</f>
        <v>1218781.5599999998</v>
      </c>
      <c r="J153" s="31"/>
      <c r="K153" s="17">
        <v>43060</v>
      </c>
      <c r="L153" s="17">
        <v>43179</v>
      </c>
      <c r="M153" s="51">
        <v>355882.3</v>
      </c>
      <c r="N153" s="29">
        <v>0</v>
      </c>
      <c r="O153" s="29">
        <f t="shared" si="7"/>
        <v>0.29199842833198103</v>
      </c>
      <c r="P153" s="18" t="s">
        <v>9</v>
      </c>
    </row>
    <row r="154" spans="2:16" s="12" customFormat="1" ht="60">
      <c r="B154" s="13">
        <f t="shared" si="8"/>
        <v>143</v>
      </c>
      <c r="C154" s="14"/>
      <c r="D154" s="24" t="s">
        <v>345</v>
      </c>
      <c r="E154" s="21" t="s">
        <v>403</v>
      </c>
      <c r="F154" s="21" t="s">
        <v>160</v>
      </c>
      <c r="G154" s="55">
        <f t="shared" si="6"/>
        <v>2499697.06</v>
      </c>
      <c r="H154" s="39">
        <v>1249848.53</v>
      </c>
      <c r="I154" s="39">
        <v>1249848.53</v>
      </c>
      <c r="J154" s="31"/>
      <c r="K154" s="17">
        <v>43060</v>
      </c>
      <c r="L154" s="17">
        <v>43179</v>
      </c>
      <c r="M154" s="51">
        <v>374954.56</v>
      </c>
      <c r="N154" s="29">
        <v>0</v>
      </c>
      <c r="O154" s="29">
        <f t="shared" si="7"/>
        <v>0.30000000080009692</v>
      </c>
      <c r="P154" s="18" t="s">
        <v>9</v>
      </c>
    </row>
    <row r="155" spans="2:16" s="12" customFormat="1" ht="48">
      <c r="B155" s="13">
        <f t="shared" si="8"/>
        <v>144</v>
      </c>
      <c r="C155" s="14"/>
      <c r="D155" s="24" t="s">
        <v>346</v>
      </c>
      <c r="E155" s="21" t="s">
        <v>404</v>
      </c>
      <c r="F155" s="22" t="s">
        <v>46</v>
      </c>
      <c r="G155" s="55">
        <f t="shared" si="6"/>
        <v>1935264.6600000001</v>
      </c>
      <c r="H155" s="39">
        <f>935264.65+32367.68</f>
        <v>967632.33000000007</v>
      </c>
      <c r="I155" s="39">
        <f>935264.66+32367.67</f>
        <v>967632.33000000007</v>
      </c>
      <c r="J155" s="31"/>
      <c r="K155" s="17">
        <v>43060</v>
      </c>
      <c r="L155" s="17">
        <v>43179</v>
      </c>
      <c r="M155" s="51">
        <v>280579.39</v>
      </c>
      <c r="N155" s="29">
        <v>0</v>
      </c>
      <c r="O155" s="29">
        <f t="shared" si="7"/>
        <v>0.28996487746539018</v>
      </c>
      <c r="P155" s="18" t="s">
        <v>9</v>
      </c>
    </row>
    <row r="156" spans="2:16" s="12" customFormat="1" ht="24">
      <c r="B156" s="13">
        <f t="shared" si="8"/>
        <v>145</v>
      </c>
      <c r="C156" s="14"/>
      <c r="D156" s="19" t="s">
        <v>282</v>
      </c>
      <c r="E156" s="21" t="s">
        <v>405</v>
      </c>
      <c r="F156" s="21" t="s">
        <v>406</v>
      </c>
      <c r="G156" s="55">
        <f t="shared" si="6"/>
        <v>185440.5</v>
      </c>
      <c r="H156" s="39">
        <v>75440.5</v>
      </c>
      <c r="I156" s="39">
        <v>110000</v>
      </c>
      <c r="J156" s="31"/>
      <c r="K156" s="17">
        <v>43040</v>
      </c>
      <c r="L156" s="17">
        <v>43119</v>
      </c>
      <c r="M156" s="51">
        <v>33000</v>
      </c>
      <c r="N156" s="29">
        <v>0</v>
      </c>
      <c r="O156" s="29">
        <f t="shared" si="7"/>
        <v>0.3</v>
      </c>
      <c r="P156" s="18" t="s">
        <v>23</v>
      </c>
    </row>
    <row r="157" spans="2:16" s="12" customFormat="1" ht="24">
      <c r="B157" s="13">
        <f t="shared" si="8"/>
        <v>146</v>
      </c>
      <c r="C157" s="14"/>
      <c r="D157" s="19" t="s">
        <v>282</v>
      </c>
      <c r="E157" s="21" t="s">
        <v>407</v>
      </c>
      <c r="F157" s="21" t="s">
        <v>406</v>
      </c>
      <c r="G157" s="55">
        <f t="shared" si="6"/>
        <v>196232.47999999998</v>
      </c>
      <c r="H157" s="39">
        <v>86232.48</v>
      </c>
      <c r="I157" s="39">
        <v>110000</v>
      </c>
      <c r="J157" s="31"/>
      <c r="K157" s="17">
        <v>43040</v>
      </c>
      <c r="L157" s="17">
        <v>43119</v>
      </c>
      <c r="M157" s="51">
        <v>33000</v>
      </c>
      <c r="N157" s="29">
        <v>0</v>
      </c>
      <c r="O157" s="29">
        <f t="shared" si="7"/>
        <v>0.3</v>
      </c>
      <c r="P157" s="18" t="s">
        <v>23</v>
      </c>
    </row>
    <row r="158" spans="2:16" s="12" customFormat="1" ht="24">
      <c r="B158" s="13">
        <f t="shared" si="8"/>
        <v>147</v>
      </c>
      <c r="C158" s="14"/>
      <c r="D158" s="19" t="s">
        <v>284</v>
      </c>
      <c r="E158" s="21" t="s">
        <v>385</v>
      </c>
      <c r="F158" s="21" t="s">
        <v>72</v>
      </c>
      <c r="G158" s="55">
        <f t="shared" si="6"/>
        <v>146782.32999999999</v>
      </c>
      <c r="H158" s="39"/>
      <c r="I158" s="39">
        <v>146782.32999999999</v>
      </c>
      <c r="J158" s="31"/>
      <c r="K158" s="17">
        <v>43040</v>
      </c>
      <c r="L158" s="17">
        <v>43069</v>
      </c>
      <c r="M158" s="51">
        <v>131394.75</v>
      </c>
      <c r="N158" s="29">
        <v>0.92</v>
      </c>
      <c r="O158" s="29">
        <f t="shared" si="7"/>
        <v>0.895167354272139</v>
      </c>
      <c r="P158" s="18" t="s">
        <v>23</v>
      </c>
    </row>
    <row r="159" spans="2:16" s="12" customFormat="1" ht="24">
      <c r="B159" s="13">
        <f t="shared" si="8"/>
        <v>148</v>
      </c>
      <c r="C159" s="14"/>
      <c r="D159" s="24" t="s">
        <v>348</v>
      </c>
      <c r="E159" s="21" t="s">
        <v>408</v>
      </c>
      <c r="F159" s="22" t="s">
        <v>393</v>
      </c>
      <c r="G159" s="55">
        <f t="shared" si="6"/>
        <v>254819.26</v>
      </c>
      <c r="H159" s="39">
        <v>129819.26</v>
      </c>
      <c r="I159" s="39">
        <v>125000</v>
      </c>
      <c r="J159" s="31"/>
      <c r="K159" s="17">
        <v>43040</v>
      </c>
      <c r="L159" s="17">
        <v>43144</v>
      </c>
      <c r="M159" s="51">
        <v>102086.47</v>
      </c>
      <c r="N159" s="29">
        <v>0.35</v>
      </c>
      <c r="O159" s="29">
        <f t="shared" si="7"/>
        <v>0.81669175999999999</v>
      </c>
      <c r="P159" s="18" t="s">
        <v>23</v>
      </c>
    </row>
    <row r="160" spans="2:16" s="12" customFormat="1" ht="24">
      <c r="B160" s="13">
        <f t="shared" si="8"/>
        <v>149</v>
      </c>
      <c r="C160" s="14"/>
      <c r="D160" s="19" t="s">
        <v>283</v>
      </c>
      <c r="E160" s="21" t="s">
        <v>409</v>
      </c>
      <c r="F160" s="21" t="s">
        <v>14</v>
      </c>
      <c r="G160" s="55">
        <f t="shared" si="6"/>
        <v>418874.35</v>
      </c>
      <c r="H160" s="39">
        <f>157417.09+9285.87</f>
        <v>166702.96</v>
      </c>
      <c r="I160" s="39">
        <f>238103.23+14068.16</f>
        <v>252171.39</v>
      </c>
      <c r="J160" s="31"/>
      <c r="K160" s="17">
        <v>43040</v>
      </c>
      <c r="L160" s="17">
        <v>43099</v>
      </c>
      <c r="M160" s="51">
        <v>117726.95</v>
      </c>
      <c r="N160" s="29">
        <v>0.28000000000000003</v>
      </c>
      <c r="O160" s="29">
        <f t="shared" si="7"/>
        <v>0.46685292094396591</v>
      </c>
      <c r="P160" s="18" t="s">
        <v>23</v>
      </c>
    </row>
    <row r="161" spans="2:16" s="12" customFormat="1" ht="36">
      <c r="B161" s="13">
        <f t="shared" si="8"/>
        <v>150</v>
      </c>
      <c r="C161" s="14"/>
      <c r="D161" s="24" t="s">
        <v>298</v>
      </c>
      <c r="E161" s="21" t="s">
        <v>410</v>
      </c>
      <c r="F161" s="21" t="s">
        <v>260</v>
      </c>
      <c r="G161" s="55">
        <f t="shared" si="6"/>
        <v>14067577.200000001</v>
      </c>
      <c r="H161" s="39">
        <f>7299622.66+1481139.47</f>
        <v>8780762.1300000008</v>
      </c>
      <c r="I161" s="39">
        <f>4394742.38+892072.69</f>
        <v>5286815.07</v>
      </c>
      <c r="J161" s="42"/>
      <c r="K161" s="17">
        <v>43070</v>
      </c>
      <c r="L161" s="17">
        <v>43219</v>
      </c>
      <c r="M161" s="51">
        <v>1318422.72</v>
      </c>
      <c r="N161" s="29">
        <v>0</v>
      </c>
      <c r="O161" s="29">
        <f t="shared" si="7"/>
        <v>0.24937939052973151</v>
      </c>
      <c r="P161" s="18" t="s">
        <v>300</v>
      </c>
    </row>
    <row r="162" spans="2:16" s="12" customFormat="1" ht="24">
      <c r="B162" s="13">
        <f t="shared" si="8"/>
        <v>151</v>
      </c>
      <c r="C162" s="14"/>
      <c r="D162" s="19" t="s">
        <v>321</v>
      </c>
      <c r="E162" s="20" t="s">
        <v>322</v>
      </c>
      <c r="F162" s="20" t="s">
        <v>48</v>
      </c>
      <c r="G162" s="55">
        <f t="shared" si="6"/>
        <v>700874.04</v>
      </c>
      <c r="H162" s="39">
        <v>350437.02</v>
      </c>
      <c r="I162" s="39">
        <v>350437.02</v>
      </c>
      <c r="J162" s="31"/>
      <c r="K162" s="17">
        <v>43045</v>
      </c>
      <c r="L162" s="17">
        <v>43164</v>
      </c>
      <c r="M162" s="51">
        <v>105131.106</v>
      </c>
      <c r="N162" s="29">
        <v>0</v>
      </c>
      <c r="O162" s="29">
        <f t="shared" si="7"/>
        <v>0.3</v>
      </c>
      <c r="P162" s="18" t="s">
        <v>23</v>
      </c>
    </row>
    <row r="163" spans="2:16" s="12" customFormat="1" ht="36">
      <c r="B163" s="13">
        <f t="shared" si="8"/>
        <v>152</v>
      </c>
      <c r="C163" s="14"/>
      <c r="D163" s="24" t="s">
        <v>350</v>
      </c>
      <c r="E163" s="21" t="s">
        <v>411</v>
      </c>
      <c r="F163" s="21" t="s">
        <v>412</v>
      </c>
      <c r="G163" s="55">
        <f t="shared" si="6"/>
        <v>844424.9</v>
      </c>
      <c r="H163" s="43"/>
      <c r="I163" s="44">
        <f>739876.41+104548.49</f>
        <v>844424.9</v>
      </c>
      <c r="J163" s="31"/>
      <c r="K163" s="17">
        <v>43045</v>
      </c>
      <c r="L163" s="17">
        <v>43126</v>
      </c>
      <c r="M163" s="51">
        <v>221962.92</v>
      </c>
      <c r="N163" s="29">
        <v>0</v>
      </c>
      <c r="O163" s="29">
        <f t="shared" si="7"/>
        <v>0.26285691006980016</v>
      </c>
      <c r="P163" s="18" t="s">
        <v>23</v>
      </c>
    </row>
    <row r="164" spans="2:16" s="12" customFormat="1" ht="24">
      <c r="B164" s="13">
        <f t="shared" si="8"/>
        <v>153</v>
      </c>
      <c r="C164" s="14"/>
      <c r="D164" s="24" t="s">
        <v>334</v>
      </c>
      <c r="E164" s="21" t="s">
        <v>413</v>
      </c>
      <c r="F164" s="21" t="s">
        <v>263</v>
      </c>
      <c r="G164" s="55">
        <f t="shared" si="6"/>
        <v>891150.4</v>
      </c>
      <c r="H164" s="39">
        <f>524159.32+78525.7</f>
        <v>602685.02</v>
      </c>
      <c r="I164" s="39">
        <f>250880.33+37585.05</f>
        <v>288465.38</v>
      </c>
      <c r="J164" s="31"/>
      <c r="K164" s="17">
        <v>43052</v>
      </c>
      <c r="L164" s="17">
        <v>43141</v>
      </c>
      <c r="M164" s="51">
        <v>75264.100000000006</v>
      </c>
      <c r="N164" s="29">
        <v>0</v>
      </c>
      <c r="O164" s="29">
        <f t="shared" si="7"/>
        <v>0.26091207201363298</v>
      </c>
      <c r="P164" s="18" t="s">
        <v>23</v>
      </c>
    </row>
    <row r="165" spans="2:16" s="12" customFormat="1" ht="36">
      <c r="B165" s="13">
        <f t="shared" si="8"/>
        <v>154</v>
      </c>
      <c r="C165" s="14"/>
      <c r="D165" s="24" t="s">
        <v>297</v>
      </c>
      <c r="E165" s="21" t="s">
        <v>414</v>
      </c>
      <c r="F165" s="21" t="s">
        <v>178</v>
      </c>
      <c r="G165" s="55">
        <f t="shared" si="6"/>
        <v>370021.76</v>
      </c>
      <c r="H165" s="39">
        <f>158025.41+11996.35</f>
        <v>170021.76000000001</v>
      </c>
      <c r="I165" s="39">
        <f>185881.9+14118.1</f>
        <v>200000</v>
      </c>
      <c r="J165" s="42"/>
      <c r="K165" s="17">
        <v>43070</v>
      </c>
      <c r="L165" s="17">
        <v>43144</v>
      </c>
      <c r="M165" s="51">
        <v>55764.57</v>
      </c>
      <c r="N165" s="29">
        <v>0</v>
      </c>
      <c r="O165" s="29">
        <f t="shared" si="7"/>
        <v>0.27882285000000001</v>
      </c>
      <c r="P165" s="18" t="s">
        <v>23</v>
      </c>
    </row>
    <row r="166" spans="2:16" s="12" customFormat="1" ht="36">
      <c r="B166" s="13">
        <f t="shared" si="8"/>
        <v>155</v>
      </c>
      <c r="C166" s="14"/>
      <c r="D166" s="24" t="s">
        <v>287</v>
      </c>
      <c r="E166" s="21" t="s">
        <v>415</v>
      </c>
      <c r="F166" s="21" t="s">
        <v>416</v>
      </c>
      <c r="G166" s="55">
        <f t="shared" si="6"/>
        <v>2716332</v>
      </c>
      <c r="H166" s="45">
        <f>1274007.29+84158.71</f>
        <v>1358166</v>
      </c>
      <c r="I166" s="45">
        <f>1274007.29+84158.71</f>
        <v>1358166</v>
      </c>
      <c r="J166" s="46"/>
      <c r="K166" s="17">
        <v>43091</v>
      </c>
      <c r="L166" s="17">
        <v>43210</v>
      </c>
      <c r="M166" s="51">
        <v>382202.18</v>
      </c>
      <c r="N166" s="29">
        <v>0</v>
      </c>
      <c r="O166" s="29">
        <f t="shared" si="7"/>
        <v>0.28141050504872012</v>
      </c>
      <c r="P166" s="18" t="s">
        <v>9</v>
      </c>
    </row>
    <row r="167" spans="2:16" s="12" customFormat="1" ht="36">
      <c r="B167" s="13">
        <f t="shared" si="8"/>
        <v>156</v>
      </c>
      <c r="C167" s="14"/>
      <c r="D167" s="24" t="s">
        <v>349</v>
      </c>
      <c r="E167" s="21" t="s">
        <v>417</v>
      </c>
      <c r="F167" s="21" t="s">
        <v>418</v>
      </c>
      <c r="G167" s="55">
        <f t="shared" si="6"/>
        <v>3513291.77</v>
      </c>
      <c r="H167" s="43">
        <f>1856189+7102.77</f>
        <v>1863291.77</v>
      </c>
      <c r="I167" s="43">
        <f>1644073.11+5926.89</f>
        <v>1650000</v>
      </c>
      <c r="J167" s="31"/>
      <c r="K167" s="17">
        <v>43091</v>
      </c>
      <c r="L167" s="17">
        <v>43210</v>
      </c>
      <c r="M167" s="51">
        <v>0</v>
      </c>
      <c r="N167" s="29">
        <v>0</v>
      </c>
      <c r="O167" s="29">
        <f t="shared" si="7"/>
        <v>0</v>
      </c>
      <c r="P167" s="18" t="s">
        <v>9</v>
      </c>
    </row>
    <row r="168" spans="2:16" s="12" customFormat="1" ht="48">
      <c r="B168" s="13">
        <f t="shared" si="8"/>
        <v>157</v>
      </c>
      <c r="C168" s="14"/>
      <c r="D168" s="24" t="s">
        <v>288</v>
      </c>
      <c r="E168" s="21" t="s">
        <v>419</v>
      </c>
      <c r="F168" s="21" t="s">
        <v>420</v>
      </c>
      <c r="G168" s="55">
        <f t="shared" si="6"/>
        <v>2701126.8200000003</v>
      </c>
      <c r="H168" s="45">
        <f>847489.76+103637.06</f>
        <v>951126.82000000007</v>
      </c>
      <c r="I168" s="45">
        <f>1559467.81+190532.19</f>
        <v>1750000</v>
      </c>
      <c r="J168" s="42"/>
      <c r="K168" s="17">
        <v>43091</v>
      </c>
      <c r="L168" s="17">
        <v>43210</v>
      </c>
      <c r="M168" s="51">
        <v>467840.34</v>
      </c>
      <c r="N168" s="29">
        <v>0</v>
      </c>
      <c r="O168" s="29">
        <f t="shared" si="7"/>
        <v>0.26733733714285718</v>
      </c>
      <c r="P168" s="18" t="s">
        <v>9</v>
      </c>
    </row>
    <row r="169" spans="2:16" s="12" customFormat="1" ht="24">
      <c r="B169" s="13">
        <f t="shared" si="8"/>
        <v>158</v>
      </c>
      <c r="C169" s="14"/>
      <c r="D169" s="24" t="s">
        <v>289</v>
      </c>
      <c r="E169" s="21" t="s">
        <v>421</v>
      </c>
      <c r="F169" s="21" t="s">
        <v>70</v>
      </c>
      <c r="G169" s="55">
        <f t="shared" si="6"/>
        <v>2881938.01</v>
      </c>
      <c r="H169" s="45">
        <v>976688.79</v>
      </c>
      <c r="I169" s="45">
        <v>1905249.22</v>
      </c>
      <c r="J169" s="42"/>
      <c r="K169" s="17">
        <v>43091</v>
      </c>
      <c r="L169" s="17">
        <v>43210</v>
      </c>
      <c r="M169" s="51">
        <v>571574.76</v>
      </c>
      <c r="N169" s="29">
        <v>0</v>
      </c>
      <c r="O169" s="29">
        <f t="shared" si="7"/>
        <v>0.29999999685080569</v>
      </c>
      <c r="P169" s="18" t="s">
        <v>9</v>
      </c>
    </row>
    <row r="170" spans="2:16" s="12" customFormat="1" ht="36">
      <c r="B170" s="13">
        <f t="shared" si="8"/>
        <v>159</v>
      </c>
      <c r="C170" s="14"/>
      <c r="D170" s="24" t="s">
        <v>290</v>
      </c>
      <c r="E170" s="21" t="s">
        <v>422</v>
      </c>
      <c r="F170" s="21" t="s">
        <v>359</v>
      </c>
      <c r="G170" s="55">
        <f t="shared" si="6"/>
        <v>2998785.54</v>
      </c>
      <c r="H170" s="45">
        <v>1499392.77</v>
      </c>
      <c r="I170" s="45">
        <v>1499392.77</v>
      </c>
      <c r="J170" s="42"/>
      <c r="K170" s="17">
        <v>43091</v>
      </c>
      <c r="L170" s="17">
        <v>43210</v>
      </c>
      <c r="M170" s="53">
        <v>449817.84</v>
      </c>
      <c r="N170" s="29">
        <v>0</v>
      </c>
      <c r="O170" s="29">
        <f t="shared" si="7"/>
        <v>0.30000000600242993</v>
      </c>
      <c r="P170" s="18" t="s">
        <v>9</v>
      </c>
    </row>
    <row r="171" spans="2:16" s="12" customFormat="1" ht="36">
      <c r="B171" s="13">
        <f t="shared" si="8"/>
        <v>160</v>
      </c>
      <c r="C171" s="14"/>
      <c r="D171" s="24" t="s">
        <v>291</v>
      </c>
      <c r="E171" s="21" t="s">
        <v>423</v>
      </c>
      <c r="F171" s="21" t="s">
        <v>424</v>
      </c>
      <c r="G171" s="55">
        <f t="shared" si="6"/>
        <v>3499999.94</v>
      </c>
      <c r="H171" s="45">
        <f>1547098.71+202901.26</f>
        <v>1749999.97</v>
      </c>
      <c r="I171" s="45">
        <f>1547098.71+202901.26</f>
        <v>1749999.97</v>
      </c>
      <c r="J171" s="42"/>
      <c r="K171" s="17">
        <v>43091</v>
      </c>
      <c r="L171" s="17">
        <v>43210</v>
      </c>
      <c r="M171" s="53">
        <v>464129.61</v>
      </c>
      <c r="N171" s="29">
        <v>0</v>
      </c>
      <c r="O171" s="29">
        <f t="shared" si="7"/>
        <v>0.26521692454657586</v>
      </c>
      <c r="P171" s="18" t="s">
        <v>9</v>
      </c>
    </row>
    <row r="172" spans="2:16" s="12" customFormat="1" ht="36">
      <c r="B172" s="13">
        <f t="shared" si="8"/>
        <v>161</v>
      </c>
      <c r="C172" s="14"/>
      <c r="D172" s="24" t="s">
        <v>292</v>
      </c>
      <c r="E172" s="21" t="s">
        <v>425</v>
      </c>
      <c r="F172" s="21" t="s">
        <v>426</v>
      </c>
      <c r="G172" s="55">
        <f t="shared" si="6"/>
        <v>10120526.530000001</v>
      </c>
      <c r="H172" s="45">
        <f>2559740.43+60786.1</f>
        <v>2620526.5300000003</v>
      </c>
      <c r="I172" s="45">
        <f>7327244.64+172755.36</f>
        <v>7500000</v>
      </c>
      <c r="J172" s="42"/>
      <c r="K172" s="17">
        <v>43091</v>
      </c>
      <c r="L172" s="17">
        <v>43210</v>
      </c>
      <c r="M172" s="53">
        <v>2198173.39</v>
      </c>
      <c r="N172" s="29">
        <v>0</v>
      </c>
      <c r="O172" s="29">
        <f t="shared" si="7"/>
        <v>0.29308978533333335</v>
      </c>
      <c r="P172" s="18" t="s">
        <v>9</v>
      </c>
    </row>
    <row r="173" spans="2:16" s="12" customFormat="1" ht="36">
      <c r="B173" s="13">
        <f t="shared" si="8"/>
        <v>162</v>
      </c>
      <c r="C173" s="14"/>
      <c r="D173" s="24" t="s">
        <v>293</v>
      </c>
      <c r="E173" s="21" t="s">
        <v>427</v>
      </c>
      <c r="F173" s="21" t="s">
        <v>359</v>
      </c>
      <c r="G173" s="55">
        <f t="shared" si="6"/>
        <v>1969492.96</v>
      </c>
      <c r="H173" s="45">
        <f>469027.91+25465.05</f>
        <v>494492.95999999996</v>
      </c>
      <c r="I173" s="45">
        <f>1398864.98+76135.02</f>
        <v>1475000</v>
      </c>
      <c r="J173" s="42"/>
      <c r="K173" s="17">
        <v>43091</v>
      </c>
      <c r="L173" s="17">
        <v>43210</v>
      </c>
      <c r="M173" s="53">
        <v>419659.49</v>
      </c>
      <c r="N173" s="29">
        <v>0</v>
      </c>
      <c r="O173" s="29">
        <f t="shared" si="7"/>
        <v>0.28451490847457628</v>
      </c>
      <c r="P173" s="18" t="s">
        <v>9</v>
      </c>
    </row>
    <row r="174" spans="2:16" s="12" customFormat="1" ht="48">
      <c r="B174" s="13">
        <f t="shared" si="8"/>
        <v>163</v>
      </c>
      <c r="C174" s="14"/>
      <c r="D174" s="24" t="s">
        <v>294</v>
      </c>
      <c r="E174" s="21" t="s">
        <v>428</v>
      </c>
      <c r="F174" s="21" t="s">
        <v>396</v>
      </c>
      <c r="G174" s="55">
        <f t="shared" si="6"/>
        <v>1992707.32</v>
      </c>
      <c r="H174" s="45">
        <f>1315368.54+71529.96</f>
        <v>1386898.5</v>
      </c>
      <c r="I174" s="45">
        <f>574528.79+31280.03</f>
        <v>605808.82000000007</v>
      </c>
      <c r="J174" s="42"/>
      <c r="K174" s="17">
        <v>43091</v>
      </c>
      <c r="L174" s="17">
        <v>43210</v>
      </c>
      <c r="M174" s="53">
        <v>172358.65</v>
      </c>
      <c r="N174" s="29">
        <v>0</v>
      </c>
      <c r="O174" s="29">
        <f t="shared" si="7"/>
        <v>0.28450997131405248</v>
      </c>
      <c r="P174" s="18" t="s">
        <v>9</v>
      </c>
    </row>
    <row r="175" spans="2:16" s="12" customFormat="1" ht="24">
      <c r="B175" s="13">
        <f t="shared" si="8"/>
        <v>164</v>
      </c>
      <c r="C175" s="14"/>
      <c r="D175" s="24" t="s">
        <v>295</v>
      </c>
      <c r="E175" s="21" t="s">
        <v>429</v>
      </c>
      <c r="F175" s="21" t="s">
        <v>75</v>
      </c>
      <c r="G175" s="55">
        <f t="shared" si="6"/>
        <v>7523937.4900000002</v>
      </c>
      <c r="H175" s="45">
        <f>6155549.49+368388</f>
        <v>6523937.4900000002</v>
      </c>
      <c r="I175" s="45">
        <f>943458.11+56541.89</f>
        <v>1000000</v>
      </c>
      <c r="J175" s="42"/>
      <c r="K175" s="17">
        <v>43091</v>
      </c>
      <c r="L175" s="17">
        <v>43210</v>
      </c>
      <c r="M175" s="53">
        <v>283037.43</v>
      </c>
      <c r="N175" s="29">
        <v>0</v>
      </c>
      <c r="O175" s="29">
        <f t="shared" si="7"/>
        <v>0.28303742999999998</v>
      </c>
      <c r="P175" s="18" t="s">
        <v>9</v>
      </c>
    </row>
    <row r="176" spans="2:16" s="12" customFormat="1" ht="36">
      <c r="B176" s="13">
        <f t="shared" si="8"/>
        <v>165</v>
      </c>
      <c r="C176" s="14"/>
      <c r="D176" s="24" t="s">
        <v>296</v>
      </c>
      <c r="E176" s="21" t="s">
        <v>430</v>
      </c>
      <c r="F176" s="21" t="s">
        <v>251</v>
      </c>
      <c r="G176" s="55">
        <f t="shared" si="6"/>
        <v>3334599.08</v>
      </c>
      <c r="H176" s="45">
        <f>990456.58+93447.74</f>
        <v>1083904.32</v>
      </c>
      <c r="I176" s="45">
        <f>2057102.14+193592.62</f>
        <v>2250694.7599999998</v>
      </c>
      <c r="J176" s="42"/>
      <c r="K176" s="17">
        <v>43091</v>
      </c>
      <c r="L176" s="17">
        <v>43210</v>
      </c>
      <c r="M176" s="53">
        <v>617130.64</v>
      </c>
      <c r="N176" s="29">
        <v>0</v>
      </c>
      <c r="O176" s="29">
        <f t="shared" si="7"/>
        <v>0.27419561771228368</v>
      </c>
      <c r="P176" s="18" t="s">
        <v>9</v>
      </c>
    </row>
    <row r="177" spans="2:16" s="12" customFormat="1" ht="36">
      <c r="B177" s="13">
        <f t="shared" si="8"/>
        <v>166</v>
      </c>
      <c r="C177" s="14"/>
      <c r="D177" s="24" t="s">
        <v>299</v>
      </c>
      <c r="E177" s="21" t="s">
        <v>431</v>
      </c>
      <c r="F177" s="21" t="s">
        <v>157</v>
      </c>
      <c r="G177" s="55">
        <f t="shared" si="6"/>
        <v>4203587.43</v>
      </c>
      <c r="H177" s="45">
        <f>1365906.52+87680.91</f>
        <v>1453587.43</v>
      </c>
      <c r="I177" s="45">
        <f>2584083.42+165916.58</f>
        <v>2750000</v>
      </c>
      <c r="J177" s="42"/>
      <c r="K177" s="17">
        <v>43091</v>
      </c>
      <c r="L177" s="17">
        <v>43210</v>
      </c>
      <c r="M177" s="51">
        <v>775225.02</v>
      </c>
      <c r="N177" s="29">
        <v>0</v>
      </c>
      <c r="O177" s="29">
        <f t="shared" si="7"/>
        <v>0.28190000727272729</v>
      </c>
      <c r="P177" s="18" t="s">
        <v>9</v>
      </c>
    </row>
    <row r="178" spans="2:16" s="12" customFormat="1" ht="24">
      <c r="B178" s="13">
        <f t="shared" si="8"/>
        <v>167</v>
      </c>
      <c r="C178" s="14"/>
      <c r="D178" s="24" t="s">
        <v>308</v>
      </c>
      <c r="E178" s="20" t="s">
        <v>432</v>
      </c>
      <c r="F178" s="21" t="s">
        <v>17</v>
      </c>
      <c r="G178" s="55">
        <f t="shared" si="6"/>
        <v>4849555.47</v>
      </c>
      <c r="H178" s="45">
        <v>2643492.69</v>
      </c>
      <c r="I178" s="45">
        <v>2206062.7799999998</v>
      </c>
      <c r="J178" s="46"/>
      <c r="K178" s="17">
        <v>43091</v>
      </c>
      <c r="L178" s="17">
        <v>43210</v>
      </c>
      <c r="M178" s="51">
        <v>661818.84</v>
      </c>
      <c r="N178" s="29">
        <v>0</v>
      </c>
      <c r="O178" s="29">
        <f t="shared" si="7"/>
        <v>0.30000000271977756</v>
      </c>
      <c r="P178" s="18" t="s">
        <v>9</v>
      </c>
    </row>
    <row r="179" spans="2:16" s="12" customFormat="1" ht="48">
      <c r="B179" s="13">
        <f t="shared" si="8"/>
        <v>168</v>
      </c>
      <c r="C179" s="14"/>
      <c r="D179" s="24" t="s">
        <v>309</v>
      </c>
      <c r="E179" s="20" t="s">
        <v>433</v>
      </c>
      <c r="F179" s="21" t="s">
        <v>150</v>
      </c>
      <c r="G179" s="55">
        <f t="shared" si="6"/>
        <v>5188886.18</v>
      </c>
      <c r="H179" s="45">
        <f>2564819.47+124066.71</f>
        <v>2688886.18</v>
      </c>
      <c r="I179" s="45">
        <f>2384658.47+115341.53</f>
        <v>2500000</v>
      </c>
      <c r="J179" s="46"/>
      <c r="K179" s="17">
        <v>43091</v>
      </c>
      <c r="L179" s="17">
        <v>43210</v>
      </c>
      <c r="M179" s="53">
        <v>715397.54</v>
      </c>
      <c r="N179" s="29">
        <v>0</v>
      </c>
      <c r="O179" s="29">
        <f t="shared" si="7"/>
        <v>0.28615901599999999</v>
      </c>
      <c r="P179" s="18" t="s">
        <v>9</v>
      </c>
    </row>
    <row r="180" spans="2:16" s="12" customFormat="1" ht="24">
      <c r="B180" s="13">
        <f t="shared" si="8"/>
        <v>169</v>
      </c>
      <c r="C180" s="14"/>
      <c r="D180" s="24" t="s">
        <v>311</v>
      </c>
      <c r="E180" s="21" t="s">
        <v>434</v>
      </c>
      <c r="F180" s="21" t="s">
        <v>435</v>
      </c>
      <c r="G180" s="55">
        <f t="shared" si="6"/>
        <v>2419865.9699999997</v>
      </c>
      <c r="H180" s="45">
        <v>776051.02</v>
      </c>
      <c r="I180" s="45">
        <v>1643814.95</v>
      </c>
      <c r="J180" s="46"/>
      <c r="K180" s="17">
        <v>43091</v>
      </c>
      <c r="L180" s="18" t="s">
        <v>313</v>
      </c>
      <c r="M180" s="53">
        <v>493144.49</v>
      </c>
      <c r="N180" s="29">
        <v>0</v>
      </c>
      <c r="O180" s="29">
        <f t="shared" si="7"/>
        <v>0.30000000304170493</v>
      </c>
      <c r="P180" s="18" t="s">
        <v>9</v>
      </c>
    </row>
    <row r="181" spans="2:16" s="12" customFormat="1" ht="36">
      <c r="B181" s="13">
        <f t="shared" si="8"/>
        <v>170</v>
      </c>
      <c r="C181" s="14"/>
      <c r="D181" s="24" t="s">
        <v>312</v>
      </c>
      <c r="E181" s="21" t="s">
        <v>436</v>
      </c>
      <c r="F181" s="21" t="s">
        <v>359</v>
      </c>
      <c r="G181" s="55">
        <f t="shared" si="6"/>
        <v>2841020.9</v>
      </c>
      <c r="H181" s="45">
        <f>1656460.51+134560.39</f>
        <v>1791020.9</v>
      </c>
      <c r="I181" s="45">
        <f>971173.54+78826.46</f>
        <v>1050000</v>
      </c>
      <c r="J181" s="46"/>
      <c r="K181" s="17">
        <v>43091</v>
      </c>
      <c r="L181" s="18" t="s">
        <v>313</v>
      </c>
      <c r="M181" s="53">
        <v>291352.07</v>
      </c>
      <c r="N181" s="29">
        <v>0</v>
      </c>
      <c r="O181" s="29">
        <f t="shared" si="7"/>
        <v>0.27747816190476193</v>
      </c>
      <c r="P181" s="18" t="s">
        <v>9</v>
      </c>
    </row>
    <row r="182" spans="2:16" s="12" customFormat="1" ht="24">
      <c r="B182" s="13">
        <f t="shared" si="8"/>
        <v>171</v>
      </c>
      <c r="C182" s="14"/>
      <c r="D182" s="24" t="s">
        <v>303</v>
      </c>
      <c r="E182" s="21" t="s">
        <v>437</v>
      </c>
      <c r="F182" s="21" t="s">
        <v>178</v>
      </c>
      <c r="G182" s="55">
        <f t="shared" si="6"/>
        <v>980357.27</v>
      </c>
      <c r="H182" s="39">
        <v>0</v>
      </c>
      <c r="I182" s="39">
        <v>980357.27</v>
      </c>
      <c r="J182" s="46"/>
      <c r="K182" s="17">
        <v>43087</v>
      </c>
      <c r="L182" s="17">
        <v>43146</v>
      </c>
      <c r="M182" s="51">
        <v>490178.64</v>
      </c>
      <c r="N182" s="29">
        <v>0</v>
      </c>
      <c r="O182" s="29">
        <f t="shared" si="7"/>
        <v>0.5000000051001815</v>
      </c>
      <c r="P182" s="18" t="s">
        <v>23</v>
      </c>
    </row>
    <row r="183" spans="2:16" s="12" customFormat="1" ht="48">
      <c r="B183" s="13">
        <f t="shared" si="8"/>
        <v>172</v>
      </c>
      <c r="C183" s="14"/>
      <c r="D183" s="25" t="s">
        <v>316</v>
      </c>
      <c r="E183" s="21" t="s">
        <v>438</v>
      </c>
      <c r="F183" s="21" t="s">
        <v>14</v>
      </c>
      <c r="G183" s="55">
        <f t="shared" si="6"/>
        <v>1199999.8900000001</v>
      </c>
      <c r="H183" s="39">
        <f>554143.06+45856.83</f>
        <v>599999.89</v>
      </c>
      <c r="I183" s="39">
        <f>554143.07+45856.93</f>
        <v>600000</v>
      </c>
      <c r="J183" s="46"/>
      <c r="K183" s="17">
        <v>43091</v>
      </c>
      <c r="L183" s="17">
        <v>43180</v>
      </c>
      <c r="M183" s="53">
        <v>277071.53999999998</v>
      </c>
      <c r="N183" s="29">
        <v>0</v>
      </c>
      <c r="O183" s="29">
        <f t="shared" si="7"/>
        <v>0.46178589999999997</v>
      </c>
      <c r="P183" s="18" t="s">
        <v>23</v>
      </c>
    </row>
    <row r="184" spans="2:16" s="12" customFormat="1" ht="36">
      <c r="B184" s="13">
        <f t="shared" si="8"/>
        <v>173</v>
      </c>
      <c r="C184" s="14"/>
      <c r="D184" s="24" t="s">
        <v>310</v>
      </c>
      <c r="E184" s="21" t="s">
        <v>439</v>
      </c>
      <c r="F184" s="21" t="s">
        <v>14</v>
      </c>
      <c r="G184" s="55">
        <f t="shared" si="6"/>
        <v>3024007.37</v>
      </c>
      <c r="H184" s="44">
        <v>2207525.38</v>
      </c>
      <c r="I184" s="44">
        <v>816481.99</v>
      </c>
      <c r="J184" s="46"/>
      <c r="K184" s="17">
        <v>43115</v>
      </c>
      <c r="L184" s="17">
        <v>43234</v>
      </c>
      <c r="M184" s="51">
        <v>408240.99</v>
      </c>
      <c r="N184" s="29">
        <v>0</v>
      </c>
      <c r="O184" s="29">
        <f t="shared" si="7"/>
        <v>0.49999999387616623</v>
      </c>
      <c r="P184" s="18" t="s">
        <v>9</v>
      </c>
    </row>
    <row r="185" spans="2:16" s="12" customFormat="1" ht="24">
      <c r="B185" s="13">
        <f t="shared" si="8"/>
        <v>174</v>
      </c>
      <c r="C185" s="14"/>
      <c r="D185" s="25" t="s">
        <v>315</v>
      </c>
      <c r="E185" s="21" t="s">
        <v>440</v>
      </c>
      <c r="F185" s="21" t="s">
        <v>17</v>
      </c>
      <c r="G185" s="55">
        <f t="shared" si="6"/>
        <v>2957135.72</v>
      </c>
      <c r="H185" s="46"/>
      <c r="I185" s="39">
        <f>2879858.98+77276.74</f>
        <v>2957135.72</v>
      </c>
      <c r="J185" s="46"/>
      <c r="K185" s="17">
        <v>43115</v>
      </c>
      <c r="L185" s="17">
        <v>43234</v>
      </c>
      <c r="M185" s="54"/>
      <c r="N185" s="29">
        <v>0</v>
      </c>
      <c r="O185" s="29">
        <f t="shared" si="7"/>
        <v>0</v>
      </c>
      <c r="P185" s="18" t="s">
        <v>9</v>
      </c>
    </row>
    <row r="186" spans="2:16" s="12" customFormat="1" ht="60">
      <c r="B186" s="13">
        <f t="shared" si="8"/>
        <v>175</v>
      </c>
      <c r="C186" s="14"/>
      <c r="D186" s="25" t="s">
        <v>317</v>
      </c>
      <c r="E186" s="21" t="s">
        <v>441</v>
      </c>
      <c r="F186" s="21" t="s">
        <v>14</v>
      </c>
      <c r="G186" s="55">
        <f t="shared" si="6"/>
        <v>8500000</v>
      </c>
      <c r="H186" s="39">
        <f>3975023.19+274976.81</f>
        <v>4250000</v>
      </c>
      <c r="I186" s="39">
        <f>3975023.19+274976.81</f>
        <v>4250000</v>
      </c>
      <c r="J186" s="46"/>
      <c r="K186" s="17">
        <v>43115</v>
      </c>
      <c r="L186" s="17">
        <v>43234</v>
      </c>
      <c r="M186" s="53">
        <v>1987511.6</v>
      </c>
      <c r="N186" s="29">
        <v>0</v>
      </c>
      <c r="O186" s="29">
        <f t="shared" si="7"/>
        <v>0.46764978823529413</v>
      </c>
      <c r="P186" s="18" t="s">
        <v>9</v>
      </c>
    </row>
    <row r="187" spans="2:16" s="12" customFormat="1" ht="48">
      <c r="B187" s="13">
        <f t="shared" si="8"/>
        <v>176</v>
      </c>
      <c r="C187" s="14"/>
      <c r="D187" s="24" t="s">
        <v>326</v>
      </c>
      <c r="E187" s="20" t="s">
        <v>442</v>
      </c>
      <c r="F187" s="26" t="s">
        <v>14</v>
      </c>
      <c r="G187" s="55">
        <f t="shared" ref="G187:G221" si="9">SUM(H187:J187)</f>
        <v>1148392.07</v>
      </c>
      <c r="H187" s="39">
        <f>509916.46+82145.85</f>
        <v>592062.31000000006</v>
      </c>
      <c r="I187" s="39">
        <f>479060.39+77269.37</f>
        <v>556329.76</v>
      </c>
      <c r="J187" s="30"/>
      <c r="K187" s="17">
        <v>43095</v>
      </c>
      <c r="L187" s="17">
        <v>43184</v>
      </c>
      <c r="M187" s="51">
        <v>0</v>
      </c>
      <c r="N187" s="29">
        <v>0</v>
      </c>
      <c r="O187" s="29">
        <f t="shared" si="7"/>
        <v>0</v>
      </c>
      <c r="P187" s="18" t="s">
        <v>23</v>
      </c>
    </row>
    <row r="188" spans="2:16" s="12" customFormat="1" ht="24">
      <c r="B188" s="13">
        <f t="shared" si="8"/>
        <v>177</v>
      </c>
      <c r="C188" s="14"/>
      <c r="D188" s="24" t="s">
        <v>304</v>
      </c>
      <c r="E188" s="21" t="s">
        <v>443</v>
      </c>
      <c r="F188" s="21" t="s">
        <v>14</v>
      </c>
      <c r="G188" s="55">
        <f t="shared" si="9"/>
        <v>951920.29</v>
      </c>
      <c r="H188" s="39">
        <v>441786.21</v>
      </c>
      <c r="I188" s="39">
        <v>510134.08</v>
      </c>
      <c r="J188" s="46"/>
      <c r="K188" s="17">
        <v>43091</v>
      </c>
      <c r="L188" s="17">
        <v>43180</v>
      </c>
      <c r="M188" s="51">
        <v>255067.04</v>
      </c>
      <c r="N188" s="29">
        <v>0</v>
      </c>
      <c r="O188" s="29">
        <f t="shared" si="7"/>
        <v>0.5</v>
      </c>
      <c r="P188" s="18" t="s">
        <v>23</v>
      </c>
    </row>
    <row r="189" spans="2:16" s="12" customFormat="1" ht="24">
      <c r="B189" s="13">
        <f t="shared" si="8"/>
        <v>178</v>
      </c>
      <c r="C189" s="14"/>
      <c r="D189" s="24" t="s">
        <v>307</v>
      </c>
      <c r="E189" s="21" t="s">
        <v>444</v>
      </c>
      <c r="F189" s="21" t="s">
        <v>386</v>
      </c>
      <c r="G189" s="55">
        <f t="shared" si="9"/>
        <v>97939.76</v>
      </c>
      <c r="H189" s="39">
        <v>49618.55</v>
      </c>
      <c r="I189" s="39">
        <f>37029.63</f>
        <v>37029.629999999997</v>
      </c>
      <c r="J189" s="47">
        <v>11291.58</v>
      </c>
      <c r="K189" s="17">
        <v>43091</v>
      </c>
      <c r="L189" s="17">
        <v>43180</v>
      </c>
      <c r="M189" s="51">
        <v>0</v>
      </c>
      <c r="N189" s="29">
        <v>0</v>
      </c>
      <c r="O189" s="29">
        <f t="shared" si="7"/>
        <v>0</v>
      </c>
      <c r="P189" s="18" t="s">
        <v>23</v>
      </c>
    </row>
    <row r="190" spans="2:16" s="12" customFormat="1" ht="36">
      <c r="B190" s="13">
        <f t="shared" si="8"/>
        <v>179</v>
      </c>
      <c r="C190" s="14"/>
      <c r="D190" s="24" t="s">
        <v>306</v>
      </c>
      <c r="E190" s="21" t="s">
        <v>445</v>
      </c>
      <c r="F190" s="21" t="s">
        <v>386</v>
      </c>
      <c r="G190" s="55">
        <f t="shared" si="9"/>
        <v>117568.82999999999</v>
      </c>
      <c r="H190" s="39">
        <v>0</v>
      </c>
      <c r="I190" s="39">
        <f>105957.37</f>
        <v>105957.37</v>
      </c>
      <c r="J190" s="47">
        <v>11611.46</v>
      </c>
      <c r="K190" s="17">
        <v>43091</v>
      </c>
      <c r="L190" s="17">
        <v>43180</v>
      </c>
      <c r="M190" s="54"/>
      <c r="N190" s="29">
        <v>0</v>
      </c>
      <c r="O190" s="29">
        <f t="shared" si="7"/>
        <v>0</v>
      </c>
      <c r="P190" s="18" t="s">
        <v>23</v>
      </c>
    </row>
    <row r="191" spans="2:16" s="12" customFormat="1" ht="24">
      <c r="B191" s="13">
        <f t="shared" si="8"/>
        <v>180</v>
      </c>
      <c r="C191" s="14"/>
      <c r="D191" s="24" t="s">
        <v>314</v>
      </c>
      <c r="E191" s="21" t="s">
        <v>446</v>
      </c>
      <c r="F191" s="21" t="s">
        <v>447</v>
      </c>
      <c r="G191" s="55">
        <f t="shared" si="9"/>
        <v>190600.34</v>
      </c>
      <c r="H191" s="46"/>
      <c r="I191" s="39">
        <f>177013</f>
        <v>177013</v>
      </c>
      <c r="J191" s="47">
        <v>13587.34</v>
      </c>
      <c r="K191" s="17">
        <v>43091</v>
      </c>
      <c r="L191" s="17">
        <v>43180</v>
      </c>
      <c r="M191" s="54"/>
      <c r="N191" s="29">
        <v>0</v>
      </c>
      <c r="O191" s="29">
        <f t="shared" si="7"/>
        <v>0</v>
      </c>
      <c r="P191" s="18" t="s">
        <v>23</v>
      </c>
    </row>
    <row r="192" spans="2:16" s="12" customFormat="1" ht="24">
      <c r="B192" s="13">
        <f t="shared" si="8"/>
        <v>181</v>
      </c>
      <c r="C192" s="14"/>
      <c r="D192" s="24" t="s">
        <v>347</v>
      </c>
      <c r="E192" s="21" t="s">
        <v>448</v>
      </c>
      <c r="F192" s="22" t="s">
        <v>449</v>
      </c>
      <c r="G192" s="55">
        <f t="shared" si="9"/>
        <v>1161237.3</v>
      </c>
      <c r="H192" s="45">
        <v>570546.02</v>
      </c>
      <c r="I192" s="45">
        <v>590691.28</v>
      </c>
      <c r="J192" s="30"/>
      <c r="K192" s="17">
        <v>43095</v>
      </c>
      <c r="L192" s="17">
        <v>43214</v>
      </c>
      <c r="M192" s="51">
        <v>295345.64</v>
      </c>
      <c r="N192" s="29">
        <v>0</v>
      </c>
      <c r="O192" s="29">
        <f t="shared" si="7"/>
        <v>0.5</v>
      </c>
      <c r="P192" s="18" t="s">
        <v>23</v>
      </c>
    </row>
    <row r="193" spans="2:16" s="12" customFormat="1" ht="24">
      <c r="B193" s="13">
        <f t="shared" si="8"/>
        <v>182</v>
      </c>
      <c r="C193" s="14"/>
      <c r="D193" s="24" t="s">
        <v>305</v>
      </c>
      <c r="E193" s="21" t="s">
        <v>450</v>
      </c>
      <c r="F193" s="21" t="s">
        <v>48</v>
      </c>
      <c r="G193" s="55">
        <f t="shared" si="9"/>
        <v>153790.5</v>
      </c>
      <c r="H193" s="39">
        <v>94135.17</v>
      </c>
      <c r="I193" s="39">
        <v>59655.33</v>
      </c>
      <c r="J193" s="46"/>
      <c r="K193" s="17">
        <v>43095</v>
      </c>
      <c r="L193" s="17">
        <v>43150</v>
      </c>
      <c r="M193" s="54"/>
      <c r="N193" s="29">
        <v>0</v>
      </c>
      <c r="O193" s="29">
        <f t="shared" si="7"/>
        <v>0</v>
      </c>
      <c r="P193" s="18" t="s">
        <v>23</v>
      </c>
    </row>
    <row r="194" spans="2:16" s="12" customFormat="1" ht="24">
      <c r="B194" s="13">
        <f t="shared" si="8"/>
        <v>183</v>
      </c>
      <c r="C194" s="14"/>
      <c r="D194" s="24" t="s">
        <v>302</v>
      </c>
      <c r="E194" s="21" t="s">
        <v>451</v>
      </c>
      <c r="F194" s="21" t="s">
        <v>27</v>
      </c>
      <c r="G194" s="55">
        <f t="shared" si="9"/>
        <v>471615.95999999996</v>
      </c>
      <c r="H194" s="39">
        <f>221173.41+22892.33</f>
        <v>244065.74</v>
      </c>
      <c r="I194" s="39">
        <f>206214.83+21335.39</f>
        <v>227550.21999999997</v>
      </c>
      <c r="J194" s="46"/>
      <c r="K194" s="17">
        <v>41269</v>
      </c>
      <c r="L194" s="17">
        <v>43169</v>
      </c>
      <c r="M194" s="51">
        <v>103107.42</v>
      </c>
      <c r="N194" s="29">
        <v>0</v>
      </c>
      <c r="O194" s="29">
        <f t="shared" si="7"/>
        <v>0.45311940370789361</v>
      </c>
      <c r="P194" s="18" t="s">
        <v>23</v>
      </c>
    </row>
    <row r="195" spans="2:16" s="12" customFormat="1" ht="48">
      <c r="B195" s="13">
        <f t="shared" si="8"/>
        <v>184</v>
      </c>
      <c r="C195" s="14"/>
      <c r="D195" s="24" t="s">
        <v>352</v>
      </c>
      <c r="E195" s="21" t="s">
        <v>452</v>
      </c>
      <c r="F195" s="21" t="s">
        <v>160</v>
      </c>
      <c r="G195" s="55">
        <f t="shared" si="9"/>
        <v>285720.92</v>
      </c>
      <c r="H195" s="47">
        <v>207547.68</v>
      </c>
      <c r="I195" s="47">
        <v>78173.240000000005</v>
      </c>
      <c r="J195" s="48"/>
      <c r="K195" s="17">
        <v>43136</v>
      </c>
      <c r="L195" s="17">
        <v>43240</v>
      </c>
      <c r="M195" s="53">
        <v>39086.620000000003</v>
      </c>
      <c r="N195" s="29">
        <v>0</v>
      </c>
      <c r="O195" s="29">
        <f t="shared" si="7"/>
        <v>0.5</v>
      </c>
      <c r="P195" s="18" t="s">
        <v>23</v>
      </c>
    </row>
    <row r="196" spans="2:16" s="12" customFormat="1" ht="48">
      <c r="B196" s="13">
        <f t="shared" si="8"/>
        <v>185</v>
      </c>
      <c r="C196" s="14"/>
      <c r="D196" s="24" t="s">
        <v>354</v>
      </c>
      <c r="E196" s="21" t="s">
        <v>453</v>
      </c>
      <c r="F196" s="21" t="s">
        <v>48</v>
      </c>
      <c r="G196" s="55">
        <f t="shared" si="9"/>
        <v>1749882.75</v>
      </c>
      <c r="H196" s="39">
        <v>1749882.75</v>
      </c>
      <c r="I196" s="47">
        <v>0</v>
      </c>
      <c r="J196" s="46"/>
      <c r="K196" s="17">
        <v>43132</v>
      </c>
      <c r="L196" s="17">
        <v>43251</v>
      </c>
      <c r="M196" s="54"/>
      <c r="N196" s="29">
        <v>0</v>
      </c>
      <c r="O196" s="29">
        <v>0</v>
      </c>
      <c r="P196" s="18" t="s">
        <v>9</v>
      </c>
    </row>
    <row r="197" spans="2:16" s="12" customFormat="1" ht="36">
      <c r="B197" s="13">
        <f t="shared" si="8"/>
        <v>186</v>
      </c>
      <c r="C197" s="14"/>
      <c r="D197" s="24" t="s">
        <v>353</v>
      </c>
      <c r="E197" s="21" t="s">
        <v>454</v>
      </c>
      <c r="F197" s="21" t="s">
        <v>27</v>
      </c>
      <c r="G197" s="55">
        <f t="shared" si="9"/>
        <v>228834.09</v>
      </c>
      <c r="H197" s="47">
        <v>166353.62</v>
      </c>
      <c r="I197" s="47">
        <v>62480.47</v>
      </c>
      <c r="J197" s="46"/>
      <c r="K197" s="17">
        <v>43136</v>
      </c>
      <c r="L197" s="17">
        <v>43250</v>
      </c>
      <c r="M197" s="51">
        <v>0</v>
      </c>
      <c r="N197" s="29">
        <v>0</v>
      </c>
      <c r="O197" s="29">
        <f t="shared" si="7"/>
        <v>0</v>
      </c>
      <c r="P197" s="18" t="s">
        <v>23</v>
      </c>
    </row>
    <row r="198" spans="2:16" s="12" customFormat="1" ht="120">
      <c r="B198" s="13">
        <f t="shared" si="8"/>
        <v>187</v>
      </c>
      <c r="C198" s="14"/>
      <c r="D198" s="19" t="s">
        <v>301</v>
      </c>
      <c r="E198" s="21" t="s">
        <v>455</v>
      </c>
      <c r="F198" s="21" t="s">
        <v>14</v>
      </c>
      <c r="G198" s="55">
        <f t="shared" si="9"/>
        <v>0</v>
      </c>
      <c r="H198" s="45"/>
      <c r="I198" s="39"/>
      <c r="J198" s="46"/>
      <c r="K198" s="46"/>
      <c r="L198" s="46"/>
      <c r="M198" s="54"/>
      <c r="N198" s="29">
        <v>0</v>
      </c>
      <c r="O198" s="29">
        <v>0</v>
      </c>
      <c r="P198" s="46"/>
    </row>
    <row r="199" spans="2:16" s="12" customFormat="1" ht="24">
      <c r="B199" s="13">
        <f t="shared" si="8"/>
        <v>188</v>
      </c>
      <c r="C199" s="14"/>
      <c r="D199" s="24" t="s">
        <v>459</v>
      </c>
      <c r="E199" s="21" t="s">
        <v>460</v>
      </c>
      <c r="F199" s="21" t="s">
        <v>77</v>
      </c>
      <c r="G199" s="55">
        <f t="shared" ref="G199:G220" si="10">SUM(H199:J199)</f>
        <v>324508.27</v>
      </c>
      <c r="H199" s="47">
        <v>200002.12</v>
      </c>
      <c r="I199" s="47">
        <v>124506.15</v>
      </c>
      <c r="J199" s="46">
        <v>0</v>
      </c>
      <c r="K199" s="17">
        <v>43024</v>
      </c>
      <c r="L199" s="17">
        <v>43069</v>
      </c>
      <c r="M199" s="51">
        <v>37509.67</v>
      </c>
      <c r="N199" s="29">
        <v>1</v>
      </c>
      <c r="O199" s="29">
        <f>+M199/I199</f>
        <v>0.30126760806594693</v>
      </c>
      <c r="P199" s="18" t="s">
        <v>461</v>
      </c>
    </row>
    <row r="200" spans="2:16" s="12" customFormat="1" ht="36">
      <c r="B200" s="13">
        <f t="shared" si="8"/>
        <v>189</v>
      </c>
      <c r="C200" s="14"/>
      <c r="D200" s="24" t="s">
        <v>462</v>
      </c>
      <c r="E200" s="21" t="s">
        <v>229</v>
      </c>
      <c r="F200" s="21" t="s">
        <v>214</v>
      </c>
      <c r="G200" s="55">
        <f t="shared" si="10"/>
        <v>1201683.8900000001</v>
      </c>
      <c r="H200" s="47">
        <v>77112.570000000007</v>
      </c>
      <c r="I200" s="47">
        <v>1124571.32</v>
      </c>
      <c r="J200" s="46">
        <v>0</v>
      </c>
      <c r="K200" s="17">
        <v>43102</v>
      </c>
      <c r="L200" s="17">
        <v>43240</v>
      </c>
      <c r="M200" s="51"/>
      <c r="N200" s="29">
        <v>0</v>
      </c>
      <c r="O200" s="29">
        <f>+M200/I200</f>
        <v>0</v>
      </c>
      <c r="P200" s="18" t="s">
        <v>461</v>
      </c>
    </row>
    <row r="201" spans="2:16" s="12" customFormat="1" ht="48">
      <c r="B201" s="13">
        <f t="shared" si="8"/>
        <v>190</v>
      </c>
      <c r="C201" s="14"/>
      <c r="D201" s="24" t="s">
        <v>463</v>
      </c>
      <c r="E201" s="21" t="s">
        <v>230</v>
      </c>
      <c r="F201" s="21" t="s">
        <v>163</v>
      </c>
      <c r="G201" s="55">
        <f t="shared" si="10"/>
        <v>1482625.1300000001</v>
      </c>
      <c r="H201" s="47">
        <v>255316.08</v>
      </c>
      <c r="I201" s="47">
        <v>1227309.05</v>
      </c>
      <c r="J201" s="46">
        <v>0</v>
      </c>
      <c r="K201" s="17">
        <v>43087</v>
      </c>
      <c r="L201" s="17">
        <v>43176</v>
      </c>
      <c r="M201" s="51"/>
      <c r="N201" s="29">
        <v>0</v>
      </c>
      <c r="O201" s="29">
        <f t="shared" ref="O201:O220" si="11">+M201/I201</f>
        <v>0</v>
      </c>
      <c r="P201" s="18" t="s">
        <v>461</v>
      </c>
    </row>
    <row r="202" spans="2:16" s="12" customFormat="1" ht="36">
      <c r="B202" s="13">
        <f t="shared" si="8"/>
        <v>191</v>
      </c>
      <c r="C202" s="14"/>
      <c r="D202" s="24" t="s">
        <v>464</v>
      </c>
      <c r="E202" s="21" t="s">
        <v>213</v>
      </c>
      <c r="F202" s="21" t="s">
        <v>214</v>
      </c>
      <c r="G202" s="55">
        <f t="shared" si="10"/>
        <v>1919697.12</v>
      </c>
      <c r="H202" s="47">
        <v>670950.14</v>
      </c>
      <c r="I202" s="47">
        <v>1248746.98</v>
      </c>
      <c r="J202" s="46">
        <v>0</v>
      </c>
      <c r="K202" s="17">
        <v>43087</v>
      </c>
      <c r="L202" s="17">
        <v>43176</v>
      </c>
      <c r="M202" s="51"/>
      <c r="N202" s="29">
        <v>0</v>
      </c>
      <c r="O202" s="29">
        <f t="shared" si="11"/>
        <v>0</v>
      </c>
      <c r="P202" s="18" t="s">
        <v>461</v>
      </c>
    </row>
    <row r="203" spans="2:16" s="12" customFormat="1" ht="24">
      <c r="B203" s="13">
        <f t="shared" si="8"/>
        <v>192</v>
      </c>
      <c r="C203" s="14"/>
      <c r="D203" s="24" t="s">
        <v>465</v>
      </c>
      <c r="E203" s="21" t="s">
        <v>466</v>
      </c>
      <c r="F203" s="21" t="s">
        <v>70</v>
      </c>
      <c r="G203" s="55">
        <f t="shared" si="10"/>
        <v>1677834.93</v>
      </c>
      <c r="H203" s="47">
        <v>210640.55</v>
      </c>
      <c r="I203" s="47">
        <v>1467194.38</v>
      </c>
      <c r="J203" s="46">
        <v>0</v>
      </c>
      <c r="K203" s="17">
        <v>43087</v>
      </c>
      <c r="L203" s="17">
        <v>43176</v>
      </c>
      <c r="M203" s="51"/>
      <c r="N203" s="29">
        <v>0.35</v>
      </c>
      <c r="O203" s="29">
        <f t="shared" si="11"/>
        <v>0</v>
      </c>
      <c r="P203" s="18" t="s">
        <v>461</v>
      </c>
    </row>
    <row r="204" spans="2:16" s="12" customFormat="1" ht="48">
      <c r="B204" s="13">
        <f t="shared" si="8"/>
        <v>193</v>
      </c>
      <c r="C204" s="14"/>
      <c r="D204" s="24" t="s">
        <v>467</v>
      </c>
      <c r="E204" s="21" t="s">
        <v>468</v>
      </c>
      <c r="F204" s="21" t="s">
        <v>386</v>
      </c>
      <c r="G204" s="55">
        <f t="shared" si="10"/>
        <v>340355.62</v>
      </c>
      <c r="H204" s="47">
        <v>190356.89</v>
      </c>
      <c r="I204" s="47">
        <v>149998.73000000001</v>
      </c>
      <c r="J204" s="46">
        <v>0</v>
      </c>
      <c r="K204" s="17">
        <v>43102</v>
      </c>
      <c r="L204" s="17">
        <v>43142</v>
      </c>
      <c r="M204" s="51" t="s">
        <v>469</v>
      </c>
      <c r="N204" s="29">
        <v>0</v>
      </c>
      <c r="O204" s="29">
        <v>0</v>
      </c>
      <c r="P204" s="18" t="s">
        <v>461</v>
      </c>
    </row>
    <row r="205" spans="2:16" s="12" customFormat="1" ht="36">
      <c r="B205" s="13">
        <f t="shared" si="8"/>
        <v>194</v>
      </c>
      <c r="C205" s="14"/>
      <c r="D205" s="24" t="s">
        <v>470</v>
      </c>
      <c r="E205" s="21" t="s">
        <v>471</v>
      </c>
      <c r="F205" s="21" t="s">
        <v>386</v>
      </c>
      <c r="G205" s="55">
        <f t="shared" si="10"/>
        <v>183776.86</v>
      </c>
      <c r="H205" s="47">
        <v>44580.61</v>
      </c>
      <c r="I205" s="47">
        <v>139196.25</v>
      </c>
      <c r="J205" s="46">
        <v>0</v>
      </c>
      <c r="K205" s="17">
        <v>43087</v>
      </c>
      <c r="L205" s="17">
        <v>43100</v>
      </c>
      <c r="M205" s="51">
        <v>0</v>
      </c>
      <c r="N205" s="29">
        <v>0</v>
      </c>
      <c r="O205" s="29">
        <f t="shared" si="11"/>
        <v>0</v>
      </c>
      <c r="P205" s="18" t="s">
        <v>461</v>
      </c>
    </row>
    <row r="206" spans="2:16" s="12" customFormat="1" ht="36">
      <c r="B206" s="13">
        <f t="shared" ref="B206:B222" si="12">+B205+1</f>
        <v>195</v>
      </c>
      <c r="C206" s="14"/>
      <c r="D206" s="24" t="s">
        <v>472</v>
      </c>
      <c r="E206" s="21" t="s">
        <v>473</v>
      </c>
      <c r="F206" s="21" t="s">
        <v>75</v>
      </c>
      <c r="G206" s="55">
        <f t="shared" si="10"/>
        <v>350377.04</v>
      </c>
      <c r="H206" s="47">
        <v>0</v>
      </c>
      <c r="I206" s="47">
        <v>350377.04</v>
      </c>
      <c r="J206" s="46">
        <v>0</v>
      </c>
      <c r="K206" s="17">
        <v>43102</v>
      </c>
      <c r="L206" s="17">
        <v>43142</v>
      </c>
      <c r="M206" s="51"/>
      <c r="N206" s="29">
        <v>1</v>
      </c>
      <c r="O206" s="29">
        <f t="shared" si="11"/>
        <v>0</v>
      </c>
      <c r="P206" s="18" t="s">
        <v>461</v>
      </c>
    </row>
    <row r="207" spans="2:16" s="12" customFormat="1" ht="36">
      <c r="B207" s="13">
        <f t="shared" si="12"/>
        <v>196</v>
      </c>
      <c r="C207" s="14"/>
      <c r="D207" s="24" t="s">
        <v>474</v>
      </c>
      <c r="E207" s="21" t="s">
        <v>475</v>
      </c>
      <c r="F207" s="21" t="s">
        <v>456</v>
      </c>
      <c r="G207" s="55">
        <f t="shared" si="10"/>
        <v>3443328.25</v>
      </c>
      <c r="H207" s="47">
        <v>0</v>
      </c>
      <c r="I207" s="47">
        <v>3443328.25</v>
      </c>
      <c r="J207" s="46">
        <v>0</v>
      </c>
      <c r="K207" s="17">
        <v>43087</v>
      </c>
      <c r="L207" s="17">
        <v>42811</v>
      </c>
      <c r="M207" s="51"/>
      <c r="N207" s="29">
        <v>0</v>
      </c>
      <c r="O207" s="29">
        <f t="shared" si="11"/>
        <v>0</v>
      </c>
      <c r="P207" s="18" t="s">
        <v>476</v>
      </c>
    </row>
    <row r="208" spans="2:16" s="12" customFormat="1" ht="36">
      <c r="B208" s="13">
        <f t="shared" si="12"/>
        <v>197</v>
      </c>
      <c r="C208" s="14"/>
      <c r="D208" s="24" t="s">
        <v>477</v>
      </c>
      <c r="E208" s="21" t="s">
        <v>457</v>
      </c>
      <c r="F208" s="21" t="s">
        <v>14</v>
      </c>
      <c r="G208" s="55">
        <f t="shared" si="10"/>
        <v>706673.25</v>
      </c>
      <c r="H208" s="47">
        <v>431848.02307499998</v>
      </c>
      <c r="I208" s="47">
        <v>274825.22692500002</v>
      </c>
      <c r="J208" s="46">
        <v>0</v>
      </c>
      <c r="K208" s="17">
        <v>43087</v>
      </c>
      <c r="L208" s="17">
        <v>43156</v>
      </c>
      <c r="M208" s="51"/>
      <c r="N208" s="29">
        <v>0</v>
      </c>
      <c r="O208" s="29">
        <f t="shared" si="11"/>
        <v>0</v>
      </c>
      <c r="P208" s="18" t="s">
        <v>461</v>
      </c>
    </row>
    <row r="209" spans="2:16" s="12" customFormat="1" ht="48">
      <c r="B209" s="13">
        <f t="shared" si="12"/>
        <v>198</v>
      </c>
      <c r="C209" s="14"/>
      <c r="D209" s="24" t="s">
        <v>478</v>
      </c>
      <c r="E209" s="21" t="s">
        <v>479</v>
      </c>
      <c r="F209" s="21" t="s">
        <v>480</v>
      </c>
      <c r="G209" s="55">
        <f t="shared" si="10"/>
        <v>443896.85</v>
      </c>
      <c r="H209" s="47">
        <v>0</v>
      </c>
      <c r="I209" s="47">
        <v>443896.85</v>
      </c>
      <c r="J209" s="46">
        <v>0</v>
      </c>
      <c r="K209" s="17">
        <v>43087</v>
      </c>
      <c r="L209" s="17">
        <v>43121</v>
      </c>
      <c r="M209" s="51"/>
      <c r="N209" s="29">
        <v>0</v>
      </c>
      <c r="O209" s="29">
        <f t="shared" si="11"/>
        <v>0</v>
      </c>
      <c r="P209" s="18" t="s">
        <v>461</v>
      </c>
    </row>
    <row r="210" spans="2:16" s="12" customFormat="1" ht="48">
      <c r="B210" s="13">
        <f t="shared" si="12"/>
        <v>199</v>
      </c>
      <c r="C210" s="14"/>
      <c r="D210" s="24" t="s">
        <v>481</v>
      </c>
      <c r="E210" s="21" t="s">
        <v>482</v>
      </c>
      <c r="F210" s="21" t="s">
        <v>14</v>
      </c>
      <c r="G210" s="55">
        <f t="shared" si="10"/>
        <v>612695.31999999995</v>
      </c>
      <c r="H210" s="47">
        <v>72979.360764791374</v>
      </c>
      <c r="I210" s="47">
        <v>539715.95923520857</v>
      </c>
      <c r="J210" s="46">
        <v>0</v>
      </c>
      <c r="K210" s="17">
        <v>43095</v>
      </c>
      <c r="L210" s="17">
        <v>42792</v>
      </c>
      <c r="M210" s="51"/>
      <c r="N210" s="29">
        <v>0</v>
      </c>
      <c r="O210" s="29">
        <f t="shared" si="11"/>
        <v>0</v>
      </c>
      <c r="P210" s="18" t="s">
        <v>461</v>
      </c>
    </row>
    <row r="211" spans="2:16" s="12" customFormat="1" ht="36">
      <c r="B211" s="13">
        <f t="shared" si="12"/>
        <v>200</v>
      </c>
      <c r="C211" s="14"/>
      <c r="D211" s="24" t="s">
        <v>483</v>
      </c>
      <c r="E211" s="21" t="s">
        <v>484</v>
      </c>
      <c r="F211" s="21" t="s">
        <v>46</v>
      </c>
      <c r="G211" s="55">
        <f t="shared" si="10"/>
        <v>458356.17</v>
      </c>
      <c r="H211" s="47">
        <v>335802.31</v>
      </c>
      <c r="I211" s="47">
        <v>122553.86</v>
      </c>
      <c r="J211" s="46">
        <v>0</v>
      </c>
      <c r="K211" s="17">
        <v>43087</v>
      </c>
      <c r="L211" s="17">
        <v>43146</v>
      </c>
      <c r="M211" s="51"/>
      <c r="N211" s="29">
        <v>0</v>
      </c>
      <c r="O211" s="29">
        <f t="shared" si="11"/>
        <v>0</v>
      </c>
      <c r="P211" s="18" t="s">
        <v>461</v>
      </c>
    </row>
    <row r="212" spans="2:16" s="12" customFormat="1" ht="60">
      <c r="B212" s="13">
        <f t="shared" si="12"/>
        <v>201</v>
      </c>
      <c r="C212" s="14"/>
      <c r="D212" s="24" t="s">
        <v>485</v>
      </c>
      <c r="E212" s="21" t="s">
        <v>486</v>
      </c>
      <c r="F212" s="21" t="s">
        <v>320</v>
      </c>
      <c r="G212" s="55">
        <f t="shared" si="10"/>
        <v>4444876.13</v>
      </c>
      <c r="H212" s="47">
        <v>2780997.11</v>
      </c>
      <c r="I212" s="47">
        <v>1663879.02</v>
      </c>
      <c r="J212" s="46">
        <v>0</v>
      </c>
      <c r="K212" s="17">
        <v>43095</v>
      </c>
      <c r="L212" s="17">
        <v>43194</v>
      </c>
      <c r="M212" s="51"/>
      <c r="N212" s="29">
        <v>0</v>
      </c>
      <c r="O212" s="29">
        <f t="shared" si="11"/>
        <v>0</v>
      </c>
      <c r="P212" s="18" t="s">
        <v>476</v>
      </c>
    </row>
    <row r="213" spans="2:16" s="12" customFormat="1" ht="36">
      <c r="B213" s="13">
        <f t="shared" si="12"/>
        <v>202</v>
      </c>
      <c r="C213" s="14"/>
      <c r="D213" s="24" t="s">
        <v>487</v>
      </c>
      <c r="E213" s="21" t="s">
        <v>488</v>
      </c>
      <c r="F213" s="21" t="s">
        <v>406</v>
      </c>
      <c r="G213" s="55">
        <f t="shared" si="10"/>
        <v>3126519.42</v>
      </c>
      <c r="H213" s="47">
        <v>0</v>
      </c>
      <c r="I213" s="47">
        <v>3126519.42</v>
      </c>
      <c r="J213" s="46">
        <v>0</v>
      </c>
      <c r="K213" s="17">
        <v>43102</v>
      </c>
      <c r="L213" s="17">
        <v>43191</v>
      </c>
      <c r="M213" s="51"/>
      <c r="N213" s="29">
        <v>0</v>
      </c>
      <c r="O213" s="29">
        <f t="shared" si="11"/>
        <v>0</v>
      </c>
      <c r="P213" s="18" t="s">
        <v>476</v>
      </c>
    </row>
    <row r="214" spans="2:16" s="12" customFormat="1" ht="24">
      <c r="B214" s="13">
        <f t="shared" si="12"/>
        <v>203</v>
      </c>
      <c r="C214" s="14"/>
      <c r="D214" s="24" t="s">
        <v>489</v>
      </c>
      <c r="E214" s="21" t="s">
        <v>490</v>
      </c>
      <c r="F214" s="21"/>
      <c r="G214" s="55">
        <f t="shared" si="10"/>
        <v>4252354.22</v>
      </c>
      <c r="H214" s="47">
        <v>3556177.0830393485</v>
      </c>
      <c r="I214" s="47">
        <v>696177.13696065138</v>
      </c>
      <c r="J214" s="46">
        <v>0</v>
      </c>
      <c r="K214" s="17">
        <v>43098</v>
      </c>
      <c r="L214" s="17">
        <v>43188</v>
      </c>
      <c r="M214" s="51"/>
      <c r="N214" s="29">
        <v>0</v>
      </c>
      <c r="O214" s="29">
        <f t="shared" si="11"/>
        <v>0</v>
      </c>
      <c r="P214" s="18" t="s">
        <v>476</v>
      </c>
    </row>
    <row r="215" spans="2:16" s="12" customFormat="1" ht="48">
      <c r="B215" s="13">
        <f t="shared" si="12"/>
        <v>204</v>
      </c>
      <c r="C215" s="14"/>
      <c r="D215" s="24" t="s">
        <v>491</v>
      </c>
      <c r="E215" s="21" t="s">
        <v>492</v>
      </c>
      <c r="F215" s="21" t="s">
        <v>493</v>
      </c>
      <c r="G215" s="55">
        <f t="shared" si="10"/>
        <v>3059526.2199999997</v>
      </c>
      <c r="H215" s="47">
        <v>1934844.38</v>
      </c>
      <c r="I215" s="47">
        <v>1124681.8400000001</v>
      </c>
      <c r="J215" s="46">
        <v>0</v>
      </c>
      <c r="K215" s="17">
        <v>43099</v>
      </c>
      <c r="L215" s="17">
        <v>43187</v>
      </c>
      <c r="M215" s="51"/>
      <c r="N215" s="29">
        <v>0</v>
      </c>
      <c r="O215" s="29">
        <f t="shared" si="11"/>
        <v>0</v>
      </c>
      <c r="P215" s="18" t="s">
        <v>476</v>
      </c>
    </row>
    <row r="216" spans="2:16" s="12" customFormat="1" ht="72">
      <c r="B216" s="13">
        <f t="shared" si="12"/>
        <v>205</v>
      </c>
      <c r="C216" s="14"/>
      <c r="D216" s="24" t="s">
        <v>494</v>
      </c>
      <c r="E216" s="21" t="s">
        <v>495</v>
      </c>
      <c r="F216" s="21" t="s">
        <v>496</v>
      </c>
      <c r="G216" s="55">
        <f t="shared" si="10"/>
        <v>2923704</v>
      </c>
      <c r="H216" s="47">
        <v>1524126.8951999999</v>
      </c>
      <c r="I216" s="47">
        <v>1399577.1048000001</v>
      </c>
      <c r="J216" s="46">
        <v>0</v>
      </c>
      <c r="K216" s="17">
        <v>43099</v>
      </c>
      <c r="L216" s="17">
        <v>43158</v>
      </c>
      <c r="M216" s="51"/>
      <c r="N216" s="29">
        <v>0</v>
      </c>
      <c r="O216" s="29">
        <f t="shared" si="11"/>
        <v>0</v>
      </c>
      <c r="P216" s="18" t="s">
        <v>476</v>
      </c>
    </row>
    <row r="217" spans="2:16" s="12" customFormat="1" ht="72">
      <c r="B217" s="13">
        <f t="shared" si="12"/>
        <v>206</v>
      </c>
      <c r="C217" s="14"/>
      <c r="D217" s="24" t="s">
        <v>497</v>
      </c>
      <c r="E217" s="21" t="s">
        <v>498</v>
      </c>
      <c r="F217" s="21" t="s">
        <v>496</v>
      </c>
      <c r="G217" s="55">
        <f t="shared" si="10"/>
        <v>3973568.57</v>
      </c>
      <c r="H217" s="47">
        <v>2936947.0672919652</v>
      </c>
      <c r="I217" s="47">
        <v>1036621.5027080345</v>
      </c>
      <c r="J217" s="46">
        <v>0</v>
      </c>
      <c r="K217" s="17">
        <v>43099</v>
      </c>
      <c r="L217" s="17">
        <v>43187</v>
      </c>
      <c r="M217" s="51"/>
      <c r="N217" s="29">
        <v>0</v>
      </c>
      <c r="O217" s="29">
        <f t="shared" si="11"/>
        <v>0</v>
      </c>
      <c r="P217" s="18" t="s">
        <v>476</v>
      </c>
    </row>
    <row r="218" spans="2:16" s="12" customFormat="1" ht="36">
      <c r="B218" s="13">
        <f t="shared" si="12"/>
        <v>207</v>
      </c>
      <c r="C218" s="14"/>
      <c r="D218" s="24" t="s">
        <v>499</v>
      </c>
      <c r="E218" s="21" t="s">
        <v>500</v>
      </c>
      <c r="F218" s="21" t="s">
        <v>214</v>
      </c>
      <c r="G218" s="55">
        <f t="shared" si="10"/>
        <v>3749038.06</v>
      </c>
      <c r="H218" s="47">
        <v>3127072.6458459999</v>
      </c>
      <c r="I218" s="47">
        <v>621965.414154</v>
      </c>
      <c r="J218" s="46">
        <v>0</v>
      </c>
      <c r="K218" s="17">
        <v>43099</v>
      </c>
      <c r="L218" s="17">
        <v>43187</v>
      </c>
      <c r="M218" s="51"/>
      <c r="N218" s="29">
        <v>0</v>
      </c>
      <c r="O218" s="29">
        <f t="shared" si="11"/>
        <v>0</v>
      </c>
      <c r="P218" s="18" t="s">
        <v>476</v>
      </c>
    </row>
    <row r="219" spans="2:16" s="12" customFormat="1" ht="72">
      <c r="B219" s="13">
        <f t="shared" si="12"/>
        <v>208</v>
      </c>
      <c r="C219" s="14"/>
      <c r="D219" s="24" t="s">
        <v>501</v>
      </c>
      <c r="E219" s="21" t="s">
        <v>502</v>
      </c>
      <c r="F219" s="21" t="s">
        <v>496</v>
      </c>
      <c r="G219" s="55">
        <f t="shared" si="10"/>
        <v>7744717.3300000001</v>
      </c>
      <c r="H219" s="47">
        <v>3110453.4466352649</v>
      </c>
      <c r="I219" s="47">
        <v>4634263.8833647352</v>
      </c>
      <c r="J219" s="46">
        <v>0</v>
      </c>
      <c r="K219" s="17">
        <v>43102</v>
      </c>
      <c r="L219" s="17">
        <v>43251</v>
      </c>
      <c r="M219" s="51"/>
      <c r="N219" s="29">
        <v>0</v>
      </c>
      <c r="O219" s="29">
        <f t="shared" si="11"/>
        <v>0</v>
      </c>
      <c r="P219" s="18" t="s">
        <v>503</v>
      </c>
    </row>
    <row r="220" spans="2:16" s="12" customFormat="1" ht="24">
      <c r="B220" s="13">
        <f t="shared" si="12"/>
        <v>209</v>
      </c>
      <c r="C220" s="14"/>
      <c r="D220" s="24" t="s">
        <v>504</v>
      </c>
      <c r="E220" s="21" t="s">
        <v>505</v>
      </c>
      <c r="F220" s="21" t="s">
        <v>456</v>
      </c>
      <c r="G220" s="55">
        <f t="shared" si="10"/>
        <v>10083776.120000001</v>
      </c>
      <c r="H220" s="47">
        <v>9367828.0154800005</v>
      </c>
      <c r="I220" s="47">
        <v>715948.10451999994</v>
      </c>
      <c r="J220" s="46">
        <v>0</v>
      </c>
      <c r="K220" s="17">
        <v>43102</v>
      </c>
      <c r="L220" s="17">
        <v>43451</v>
      </c>
      <c r="M220" s="51"/>
      <c r="N220" s="29">
        <v>0</v>
      </c>
      <c r="O220" s="29">
        <f t="shared" si="11"/>
        <v>0</v>
      </c>
      <c r="P220" s="18" t="s">
        <v>503</v>
      </c>
    </row>
    <row r="221" spans="2:16" s="12" customFormat="1" ht="24">
      <c r="B221" s="13">
        <f t="shared" si="12"/>
        <v>210</v>
      </c>
      <c r="C221" s="14"/>
      <c r="D221" s="24" t="s">
        <v>130</v>
      </c>
      <c r="E221" s="21" t="s">
        <v>131</v>
      </c>
      <c r="F221" s="21" t="s">
        <v>46</v>
      </c>
      <c r="G221" s="55">
        <f t="shared" si="9"/>
        <v>2421044.9900000002</v>
      </c>
      <c r="H221" s="47">
        <v>1097370.56</v>
      </c>
      <c r="I221" s="47">
        <v>1097370.56</v>
      </c>
      <c r="J221" s="46">
        <v>226303.87</v>
      </c>
      <c r="K221" s="17">
        <v>42731</v>
      </c>
      <c r="L221" s="17">
        <v>42851</v>
      </c>
      <c r="M221" s="51">
        <v>1097370.56</v>
      </c>
      <c r="N221" s="29">
        <v>0</v>
      </c>
      <c r="O221" s="29">
        <f t="shared" ref="O221" si="13">+M221/I221</f>
        <v>1</v>
      </c>
      <c r="P221" s="18" t="s">
        <v>9</v>
      </c>
    </row>
    <row r="222" spans="2:16" s="12" customFormat="1" ht="36">
      <c r="B222" s="13">
        <f t="shared" si="12"/>
        <v>211</v>
      </c>
      <c r="C222" s="14"/>
      <c r="D222" s="24" t="s">
        <v>351</v>
      </c>
      <c r="E222" s="21" t="s">
        <v>458</v>
      </c>
      <c r="F222" s="21" t="s">
        <v>14</v>
      </c>
      <c r="G222" s="55">
        <f>SUM(H222:J222)</f>
        <v>0</v>
      </c>
      <c r="H222" s="47"/>
      <c r="I222" s="47"/>
      <c r="J222" s="46"/>
      <c r="K222" s="17"/>
      <c r="L222" s="17"/>
      <c r="M222" s="51"/>
      <c r="N222" s="29">
        <v>0</v>
      </c>
      <c r="O222" s="29">
        <v>0</v>
      </c>
      <c r="P222" s="18"/>
    </row>
    <row r="223" spans="2:16" s="12" customFormat="1">
      <c r="C223" s="16"/>
      <c r="D223" s="35"/>
      <c r="E223" s="36"/>
      <c r="F223" s="37"/>
      <c r="G223" s="27"/>
      <c r="H223" s="28"/>
      <c r="I223" s="28"/>
      <c r="J223" s="28"/>
      <c r="K223" s="34"/>
      <c r="L223" s="34"/>
      <c r="M223" s="51"/>
      <c r="N223" s="29"/>
      <c r="O223" s="29"/>
      <c r="P223" s="18"/>
    </row>
    <row r="224" spans="2:16" s="12" customFormat="1">
      <c r="C224" s="16"/>
      <c r="D224" s="49" t="s">
        <v>285</v>
      </c>
      <c r="E224" s="46"/>
      <c r="F224" s="46"/>
      <c r="G224" s="38">
        <f>SUM(G12:G223)</f>
        <v>606689830.49199998</v>
      </c>
      <c r="H224" s="38">
        <f>SUM(H12:H223)</f>
        <v>280424332.23733252</v>
      </c>
      <c r="I224" s="38">
        <f>SUM(I12:I223)</f>
        <v>325210311.07466757</v>
      </c>
      <c r="J224" s="38">
        <f>SUM(J12:J223)</f>
        <v>1055187.1800000002</v>
      </c>
      <c r="K224" s="38"/>
      <c r="L224" s="38"/>
      <c r="M224" s="38">
        <f>SUM(M12:M223)</f>
        <v>182773694.1119999</v>
      </c>
      <c r="N224" s="46"/>
      <c r="O224" s="46"/>
      <c r="P224" s="46"/>
    </row>
    <row r="228" spans="13:13">
      <c r="M228" s="51"/>
    </row>
    <row r="231" spans="13:13">
      <c r="M231" s="9"/>
    </row>
  </sheetData>
  <sortState ref="C57:P223">
    <sortCondition ref="C57"/>
  </sortState>
  <mergeCells count="15">
    <mergeCell ref="B9:B10"/>
    <mergeCell ref="D2:P2"/>
    <mergeCell ref="D3:P3"/>
    <mergeCell ref="D4:P4"/>
    <mergeCell ref="D6:P6"/>
    <mergeCell ref="D9:D10"/>
    <mergeCell ref="E9:E10"/>
    <mergeCell ref="K9:K10"/>
    <mergeCell ref="F9:F10"/>
    <mergeCell ref="N9:O9"/>
    <mergeCell ref="P9:P10"/>
    <mergeCell ref="L9:L10"/>
    <mergeCell ref="M9:M10"/>
    <mergeCell ref="G9:J9"/>
    <mergeCell ref="D5:P5"/>
  </mergeCells>
  <pageMargins left="0" right="0.19685039370078741" top="0" bottom="0.39370078740157483" header="0.31496062992125984" footer="0.31496062992125984"/>
  <pageSetup scale="8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entregable</vt:lpstr>
      <vt:lpstr>entregable!Área_de_impresión</vt:lpstr>
      <vt:lpstr>entregable!Títulos_a_imprimir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Montoya</cp:lastModifiedBy>
  <cp:lastPrinted>2018-02-28T17:21:23Z</cp:lastPrinted>
  <dcterms:created xsi:type="dcterms:W3CDTF">2016-04-26T14:26:00Z</dcterms:created>
  <dcterms:modified xsi:type="dcterms:W3CDTF">2018-05-11T18:30:20Z</dcterms:modified>
</cp:coreProperties>
</file>