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ocuments\2017\CUENTA PUBLICA 2017\CUENTA PUBLICA CUARTO TRIMESTRE\CUARTO TRIMESTRE\"/>
    </mc:Choice>
  </mc:AlternateContent>
  <bookViews>
    <workbookView xWindow="120" yWindow="45" windowWidth="15600" windowHeight="8250" tabRatio="885" firstSheet="1" activeTab="8"/>
  </bookViews>
  <sheets>
    <sheet name="EAEPE" sheetId="1" state="hidden" r:id="rId1"/>
    <sheet name="EAEPE (2)" sheetId="22" r:id="rId2"/>
    <sheet name="Instructivo_EAEPE" sheetId="14" r:id="rId3"/>
    <sheet name="COG" sheetId="6" r:id="rId4"/>
    <sheet name="Hoja1" sheetId="21" r:id="rId5"/>
    <sheet name="Instructivo_COG" sheetId="15" r:id="rId6"/>
    <sheet name="CTG" sheetId="8" r:id="rId7"/>
    <sheet name="Instructivo_CTG" sheetId="16" r:id="rId8"/>
    <sheet name="CA_Ente_Público" sheetId="4" r:id="rId9"/>
    <sheet name="Instructivo_CA_Ente_Público" sheetId="20" r:id="rId10"/>
    <sheet name="CA_Ejecutivo_Estatal" sheetId="10" r:id="rId11"/>
    <sheet name="Instructivo_CA_Ejecutivo_Estata" sheetId="19" r:id="rId12"/>
    <sheet name="CA_Ayuntamiento" sheetId="12" r:id="rId13"/>
    <sheet name="Instructivo_CA_Ayuntamiento" sheetId="18" r:id="rId14"/>
    <sheet name="CFG" sheetId="5" r:id="rId15"/>
    <sheet name="Instructivo_CFG" sheetId="17" r:id="rId16"/>
  </sheets>
  <definedNames>
    <definedName name="_xlnm._FilterDatabase" localSheetId="14" hidden="1">CFG!$A$2:$H$35</definedName>
    <definedName name="_xlnm._FilterDatabase" localSheetId="3" hidden="1">COG!$A$2:$H$75</definedName>
    <definedName name="_xlnm.Print_Titles" localSheetId="0">EAEPE!$1:$2</definedName>
    <definedName name="_xlnm.Print_Titles" localSheetId="4">Hoja1!$1:$2</definedName>
  </definedNames>
  <calcPr calcId="152511"/>
</workbook>
</file>

<file path=xl/calcChain.xml><?xml version="1.0" encoding="utf-8"?>
<calcChain xmlns="http://schemas.openxmlformats.org/spreadsheetml/2006/main">
  <c r="O4" i="22" l="1"/>
  <c r="G8" i="4"/>
  <c r="G7" i="4"/>
  <c r="G10" i="4"/>
  <c r="G6" i="4"/>
  <c r="G5" i="4"/>
  <c r="G4" i="4"/>
  <c r="F6" i="4"/>
  <c r="G5" i="8"/>
  <c r="G4" i="8"/>
  <c r="G48" i="21"/>
  <c r="G42" i="21" s="1"/>
  <c r="G31" i="21"/>
  <c r="G30" i="21"/>
  <c r="G29" i="21"/>
  <c r="G28" i="21"/>
  <c r="G27" i="21"/>
  <c r="G26" i="21"/>
  <c r="G25" i="21"/>
  <c r="G24" i="21"/>
  <c r="G23" i="21"/>
  <c r="G18" i="21"/>
  <c r="G14" i="21"/>
  <c r="G13" i="21"/>
  <c r="G8" i="21"/>
  <c r="G6" i="21"/>
  <c r="N201" i="22"/>
  <c r="N200" i="22"/>
  <c r="N199" i="22"/>
  <c r="N195" i="22"/>
  <c r="N190" i="22"/>
  <c r="N198" i="22"/>
  <c r="N194" i="22"/>
  <c r="N189" i="22"/>
  <c r="N187" i="22"/>
  <c r="N186" i="22"/>
  <c r="N39" i="22"/>
  <c r="N85" i="22"/>
  <c r="N4" i="22"/>
  <c r="N118" i="22"/>
  <c r="N142" i="22"/>
  <c r="N156" i="22"/>
  <c r="N155" i="22"/>
  <c r="N136" i="22"/>
  <c r="N133" i="22"/>
  <c r="N132" i="22"/>
  <c r="N124" i="22"/>
  <c r="N123" i="22"/>
  <c r="N122" i="22"/>
  <c r="N111" i="22"/>
  <c r="N110" i="22"/>
  <c r="N109" i="22"/>
  <c r="N103" i="22"/>
  <c r="N99" i="22"/>
  <c r="N97" i="22"/>
  <c r="N96" i="22"/>
  <c r="N95" i="22"/>
  <c r="N91" i="22"/>
  <c r="N78" i="22"/>
  <c r="N77" i="22"/>
  <c r="N75" i="22"/>
  <c r="N66" i="22"/>
  <c r="N62" i="22"/>
  <c r="N59" i="22"/>
  <c r="N56" i="22"/>
  <c r="N53" i="22"/>
  <c r="N52" i="22"/>
  <c r="N49" i="22"/>
  <c r="N46" i="22"/>
  <c r="N45" i="22"/>
  <c r="N44" i="22"/>
  <c r="N30" i="22"/>
  <c r="N29" i="22"/>
  <c r="N28" i="22"/>
  <c r="N27" i="22"/>
  <c r="N25" i="22"/>
  <c r="N24" i="22"/>
  <c r="N16" i="22"/>
  <c r="N6" i="22"/>
  <c r="D31" i="21" l="1"/>
  <c r="D30" i="21"/>
  <c r="D29" i="21"/>
  <c r="D28" i="21"/>
  <c r="D27" i="21"/>
  <c r="D26" i="21"/>
  <c r="D25" i="21"/>
  <c r="D24" i="21"/>
  <c r="D22" i="21" s="1"/>
  <c r="D23" i="21"/>
  <c r="D21" i="21"/>
  <c r="D19" i="21"/>
  <c r="D18" i="21"/>
  <c r="D16" i="21"/>
  <c r="D14" i="21"/>
  <c r="D13" i="21"/>
  <c r="D9" i="21"/>
  <c r="D8" i="21"/>
  <c r="D7" i="21"/>
  <c r="D6" i="21"/>
  <c r="D48" i="21"/>
  <c r="D42" i="21"/>
  <c r="D5" i="21"/>
  <c r="E17" i="5"/>
  <c r="D17" i="5"/>
  <c r="E11" i="4"/>
  <c r="D11" i="4"/>
  <c r="E7" i="4"/>
  <c r="D7" i="4"/>
  <c r="F10" i="4"/>
  <c r="D8" i="4"/>
  <c r="E8" i="4"/>
  <c r="F8" i="4"/>
  <c r="F7" i="4"/>
  <c r="G9" i="4"/>
  <c r="F5" i="4"/>
  <c r="F4" i="4"/>
  <c r="F17" i="5"/>
  <c r="F68" i="21"/>
  <c r="F64" i="21"/>
  <c r="F56" i="21"/>
  <c r="F52" i="21"/>
  <c r="F42" i="21"/>
  <c r="F32" i="21"/>
  <c r="F22" i="21"/>
  <c r="F12" i="21"/>
  <c r="F4" i="21"/>
  <c r="F3" i="21" s="1"/>
  <c r="C4" i="21"/>
  <c r="C3" i="21" s="1"/>
  <c r="E4" i="21"/>
  <c r="G5" i="21"/>
  <c r="G7" i="21"/>
  <c r="G9" i="21"/>
  <c r="E10" i="21"/>
  <c r="G10" i="21"/>
  <c r="E11" i="21"/>
  <c r="G11" i="21"/>
  <c r="C12" i="21"/>
  <c r="G15" i="21"/>
  <c r="G16" i="21"/>
  <c r="G17" i="21"/>
  <c r="G19" i="21"/>
  <c r="G20" i="21"/>
  <c r="G21" i="21"/>
  <c r="C22" i="21"/>
  <c r="C32" i="21"/>
  <c r="D32" i="21"/>
  <c r="E33" i="21"/>
  <c r="E32" i="21" s="1"/>
  <c r="G33" i="21"/>
  <c r="E34" i="21"/>
  <c r="G34" i="21"/>
  <c r="E35" i="21"/>
  <c r="G35" i="21"/>
  <c r="E36" i="21"/>
  <c r="G36" i="21"/>
  <c r="E37" i="21"/>
  <c r="G37" i="21"/>
  <c r="E38" i="21"/>
  <c r="G38" i="21"/>
  <c r="E39" i="21"/>
  <c r="G39" i="21"/>
  <c r="E40" i="21"/>
  <c r="G40" i="21"/>
  <c r="E41" i="21"/>
  <c r="G41" i="21"/>
  <c r="C42" i="21"/>
  <c r="E43" i="21"/>
  <c r="G43" i="21"/>
  <c r="E44" i="21"/>
  <c r="G44" i="21"/>
  <c r="E45" i="21"/>
  <c r="G45" i="21"/>
  <c r="E46" i="21"/>
  <c r="G46" i="21"/>
  <c r="E47" i="21"/>
  <c r="G47" i="21"/>
  <c r="E49" i="21"/>
  <c r="G49" i="21"/>
  <c r="E50" i="21"/>
  <c r="G50" i="21"/>
  <c r="E51" i="21"/>
  <c r="G51" i="21"/>
  <c r="C52" i="21"/>
  <c r="D52" i="21"/>
  <c r="E53" i="21"/>
  <c r="E52" i="21" s="1"/>
  <c r="G53" i="21"/>
  <c r="E54" i="21"/>
  <c r="E55" i="21"/>
  <c r="G55" i="21"/>
  <c r="C56" i="21"/>
  <c r="D56" i="21"/>
  <c r="E57" i="21"/>
  <c r="E56" i="21" s="1"/>
  <c r="G57" i="21"/>
  <c r="G56" i="21" s="1"/>
  <c r="E58" i="21"/>
  <c r="G58" i="21"/>
  <c r="E59" i="21"/>
  <c r="G59" i="21"/>
  <c r="E60" i="21"/>
  <c r="G60" i="21"/>
  <c r="E61" i="21"/>
  <c r="G61" i="21"/>
  <c r="E62" i="21"/>
  <c r="G62" i="21"/>
  <c r="E63" i="21"/>
  <c r="G63" i="21"/>
  <c r="C64" i="21"/>
  <c r="D64" i="21"/>
  <c r="E64" i="21"/>
  <c r="E65" i="21"/>
  <c r="G65" i="21"/>
  <c r="G64" i="21" s="1"/>
  <c r="E66" i="21"/>
  <c r="G66" i="21"/>
  <c r="E67" i="21"/>
  <c r="G67" i="21"/>
  <c r="C68" i="21"/>
  <c r="D68" i="21"/>
  <c r="E69" i="21"/>
  <c r="E68" i="21" s="1"/>
  <c r="G69" i="21"/>
  <c r="E70" i="21"/>
  <c r="G70" i="21"/>
  <c r="E71" i="21"/>
  <c r="G71" i="21"/>
  <c r="E72" i="21"/>
  <c r="G72" i="21"/>
  <c r="E73" i="21"/>
  <c r="G73" i="21"/>
  <c r="E74" i="21"/>
  <c r="G74" i="21"/>
  <c r="E75" i="21"/>
  <c r="G75" i="21"/>
  <c r="K6" i="1"/>
  <c r="H7" i="1"/>
  <c r="H6" i="1" s="1"/>
  <c r="I7" i="1"/>
  <c r="I6" i="1" s="1"/>
  <c r="K7" i="1"/>
  <c r="J8" i="1"/>
  <c r="J7" i="1" s="1"/>
  <c r="L8" i="1"/>
  <c r="M8" i="1"/>
  <c r="N8" i="1"/>
  <c r="N7" i="1" s="1"/>
  <c r="N6" i="1" s="1"/>
  <c r="J9" i="1"/>
  <c r="J10" i="1"/>
  <c r="N10" i="1"/>
  <c r="M10" i="1" s="1"/>
  <c r="L10" i="1" s="1"/>
  <c r="J11" i="1"/>
  <c r="N11" i="1"/>
  <c r="M11" i="1" s="1"/>
  <c r="L11" i="1" s="1"/>
  <c r="J12" i="1"/>
  <c r="N12" i="1"/>
  <c r="M12" i="1" s="1"/>
  <c r="L12" i="1" s="1"/>
  <c r="J13" i="1"/>
  <c r="N13" i="1"/>
  <c r="M13" i="1" s="1"/>
  <c r="L13" i="1" s="1"/>
  <c r="J14" i="1"/>
  <c r="N14" i="1"/>
  <c r="M14" i="1" s="1"/>
  <c r="L14" i="1" s="1"/>
  <c r="J15" i="1"/>
  <c r="N15" i="1"/>
  <c r="M15" i="1" s="1"/>
  <c r="L15" i="1" s="1"/>
  <c r="J16" i="1"/>
  <c r="N16" i="1"/>
  <c r="M16" i="1" s="1"/>
  <c r="L16" i="1" s="1"/>
  <c r="J17" i="1"/>
  <c r="J18" i="1"/>
  <c r="N18" i="1"/>
  <c r="M18" i="1" s="1"/>
  <c r="L18" i="1" s="1"/>
  <c r="J19" i="1"/>
  <c r="N19" i="1"/>
  <c r="M19" i="1" s="1"/>
  <c r="L19" i="1" s="1"/>
  <c r="J20" i="1"/>
  <c r="N20" i="1"/>
  <c r="M20" i="1" s="1"/>
  <c r="L20" i="1" s="1"/>
  <c r="J21" i="1"/>
  <c r="N21" i="1"/>
  <c r="M21" i="1" s="1"/>
  <c r="L21" i="1" s="1"/>
  <c r="J22" i="1"/>
  <c r="N22" i="1"/>
  <c r="M22" i="1" s="1"/>
  <c r="L22" i="1" s="1"/>
  <c r="J23" i="1"/>
  <c r="N23" i="1"/>
  <c r="M23" i="1" s="1"/>
  <c r="L23" i="1" s="1"/>
  <c r="J24" i="1"/>
  <c r="N24" i="1"/>
  <c r="M24" i="1" s="1"/>
  <c r="L24" i="1" s="1"/>
  <c r="J25" i="1"/>
  <c r="J26" i="1"/>
  <c r="J27" i="1"/>
  <c r="H31" i="1"/>
  <c r="I31" i="1"/>
  <c r="K31" i="1"/>
  <c r="J32" i="1"/>
  <c r="J31" i="1" s="1"/>
  <c r="J33" i="1"/>
  <c r="J34" i="1"/>
  <c r="J35" i="1"/>
  <c r="M35" i="1"/>
  <c r="M31" i="1" s="1"/>
  <c r="N35" i="1"/>
  <c r="N31" i="1" s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H81" i="1"/>
  <c r="I81" i="1"/>
  <c r="I80" i="1" s="1"/>
  <c r="K81" i="1"/>
  <c r="K80" i="1" s="1"/>
  <c r="N81" i="1"/>
  <c r="N80" i="1" s="1"/>
  <c r="J82" i="1"/>
  <c r="J83" i="1"/>
  <c r="J84" i="1"/>
  <c r="J81" i="1" s="1"/>
  <c r="J85" i="1"/>
  <c r="J86" i="1"/>
  <c r="J87" i="1"/>
  <c r="J88" i="1"/>
  <c r="J89" i="1"/>
  <c r="J90" i="1"/>
  <c r="J91" i="1"/>
  <c r="J92" i="1"/>
  <c r="J93" i="1"/>
  <c r="J94" i="1"/>
  <c r="J95" i="1"/>
  <c r="J96" i="1"/>
  <c r="N96" i="1"/>
  <c r="M96" i="1" s="1"/>
  <c r="J97" i="1"/>
  <c r="J98" i="1"/>
  <c r="J99" i="1"/>
  <c r="J100" i="1"/>
  <c r="J101" i="1"/>
  <c r="J102" i="1"/>
  <c r="N102" i="1"/>
  <c r="M102" i="1" s="1"/>
  <c r="J103" i="1"/>
  <c r="J104" i="1"/>
  <c r="H107" i="1"/>
  <c r="I107" i="1"/>
  <c r="K107" i="1"/>
  <c r="N107" i="1"/>
  <c r="J108" i="1"/>
  <c r="J109" i="1"/>
  <c r="J110" i="1"/>
  <c r="J111" i="1"/>
  <c r="J107" i="1" s="1"/>
  <c r="M111" i="1"/>
  <c r="N111" i="1"/>
  <c r="J112" i="1"/>
  <c r="M112" i="1"/>
  <c r="N112" i="1"/>
  <c r="J113" i="1"/>
  <c r="J114" i="1"/>
  <c r="J115" i="1"/>
  <c r="N115" i="1"/>
  <c r="M115" i="1" s="1"/>
  <c r="L115" i="1" s="1"/>
  <c r="J116" i="1"/>
  <c r="N116" i="1"/>
  <c r="M116" i="1" s="1"/>
  <c r="L116" i="1" s="1"/>
  <c r="J117" i="1"/>
  <c r="N117" i="1"/>
  <c r="M117" i="1" s="1"/>
  <c r="L117" i="1" s="1"/>
  <c r="J118" i="1"/>
  <c r="N118" i="1"/>
  <c r="M118" i="1" s="1"/>
  <c r="L118" i="1" s="1"/>
  <c r="H121" i="1"/>
  <c r="H80" i="1" s="1"/>
  <c r="I121" i="1"/>
  <c r="K121" i="1"/>
  <c r="L121" i="1"/>
  <c r="M121" i="1"/>
  <c r="N121" i="1"/>
  <c r="J122" i="1"/>
  <c r="J121" i="1" s="1"/>
  <c r="H124" i="1"/>
  <c r="I124" i="1"/>
  <c r="K124" i="1"/>
  <c r="L124" i="1"/>
  <c r="M124" i="1"/>
  <c r="N124" i="1"/>
  <c r="J125" i="1"/>
  <c r="J124" i="1" s="1"/>
  <c r="J126" i="1"/>
  <c r="L126" i="1"/>
  <c r="M126" i="1"/>
  <c r="N126" i="1"/>
  <c r="J127" i="1"/>
  <c r="H129" i="1"/>
  <c r="H130" i="1"/>
  <c r="I130" i="1"/>
  <c r="I129" i="1" s="1"/>
  <c r="K130" i="1"/>
  <c r="J131" i="1"/>
  <c r="J132" i="1"/>
  <c r="J133" i="1"/>
  <c r="J130" i="1" s="1"/>
  <c r="J129" i="1" s="1"/>
  <c r="J134" i="1"/>
  <c r="J135" i="1"/>
  <c r="J136" i="1"/>
  <c r="J137" i="1"/>
  <c r="J138" i="1"/>
  <c r="J139" i="1"/>
  <c r="J140" i="1"/>
  <c r="J141" i="1"/>
  <c r="J142" i="1"/>
  <c r="J143" i="1"/>
  <c r="M143" i="1"/>
  <c r="M130" i="1" s="1"/>
  <c r="M129" i="1" s="1"/>
  <c r="N143" i="1"/>
  <c r="N130" i="1" s="1"/>
  <c r="N129" i="1" s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H165" i="1"/>
  <c r="I165" i="1"/>
  <c r="K165" i="1"/>
  <c r="L165" i="1"/>
  <c r="N165" i="1"/>
  <c r="J166" i="1"/>
  <c r="J167" i="1"/>
  <c r="J168" i="1"/>
  <c r="M168" i="1"/>
  <c r="M165" i="1" s="1"/>
  <c r="N168" i="1"/>
  <c r="J169" i="1"/>
  <c r="J170" i="1"/>
  <c r="J171" i="1"/>
  <c r="J165" i="1" s="1"/>
  <c r="J172" i="1"/>
  <c r="J173" i="1"/>
  <c r="J174" i="1"/>
  <c r="J175" i="1"/>
  <c r="J176" i="1"/>
  <c r="D4" i="21" l="1"/>
  <c r="E22" i="21"/>
  <c r="G32" i="21"/>
  <c r="G4" i="21"/>
  <c r="G68" i="21"/>
  <c r="G52" i="21"/>
  <c r="G22" i="21"/>
  <c r="G12" i="21"/>
  <c r="L96" i="1"/>
  <c r="L81" i="1" s="1"/>
  <c r="M81" i="1"/>
  <c r="J80" i="1"/>
  <c r="M7" i="1"/>
  <c r="M6" i="1" s="1"/>
  <c r="L107" i="1"/>
  <c r="M107" i="1"/>
  <c r="L7" i="1"/>
  <c r="J6" i="1"/>
  <c r="L143" i="1"/>
  <c r="L130" i="1" s="1"/>
  <c r="L129" i="1" s="1"/>
  <c r="L35" i="1"/>
  <c r="L31" i="1" s="1"/>
  <c r="G3" i="21" l="1"/>
  <c r="G17" i="5" s="1"/>
  <c r="L6" i="1"/>
  <c r="M80" i="1"/>
  <c r="M3" i="1" s="1"/>
  <c r="L80" i="1"/>
  <c r="N3" i="1"/>
  <c r="D6" i="8" l="1"/>
  <c r="C11" i="4" l="1"/>
  <c r="D9" i="4"/>
  <c r="E9" i="4"/>
  <c r="C9" i="4"/>
  <c r="C8" i="4"/>
  <c r="C7" i="4"/>
  <c r="C6" i="4"/>
  <c r="D5" i="8"/>
  <c r="F5" i="8"/>
  <c r="C4" i="8" l="1"/>
  <c r="C5" i="8"/>
  <c r="F4" i="8"/>
  <c r="E6" i="8"/>
  <c r="E5" i="8"/>
  <c r="O3" i="1" l="1"/>
  <c r="C10" i="4"/>
  <c r="D6" i="4"/>
  <c r="D5" i="4"/>
  <c r="C5" i="4"/>
  <c r="D4" i="4"/>
  <c r="E10" i="4" l="1"/>
  <c r="D10" i="4"/>
  <c r="E6" i="4"/>
  <c r="K3" i="1"/>
  <c r="E5" i="4"/>
  <c r="E4" i="4"/>
  <c r="C4" i="4"/>
  <c r="C3" i="4" s="1"/>
  <c r="F11" i="4"/>
  <c r="G11" i="4" s="1"/>
  <c r="H3" i="1" l="1"/>
  <c r="C17" i="5" s="1"/>
  <c r="C13" i="5" s="1"/>
  <c r="C3" i="5" s="1"/>
  <c r="D3" i="4"/>
  <c r="I3" i="1"/>
  <c r="D13" i="5" s="1"/>
  <c r="D3" i="5" s="1"/>
  <c r="E3" i="4"/>
  <c r="H3" i="4"/>
  <c r="H9" i="10"/>
  <c r="G9" i="10"/>
  <c r="F9" i="10"/>
  <c r="E9" i="10"/>
  <c r="D9" i="10"/>
  <c r="C9" i="10"/>
  <c r="H4" i="10"/>
  <c r="G4" i="10"/>
  <c r="F4" i="10"/>
  <c r="E4" i="10"/>
  <c r="D4" i="10"/>
  <c r="C4" i="10"/>
  <c r="H3" i="10"/>
  <c r="G3" i="10"/>
  <c r="F3" i="10"/>
  <c r="E3" i="10"/>
  <c r="D3" i="10"/>
  <c r="C3" i="10"/>
  <c r="H6" i="12"/>
  <c r="G6" i="12"/>
  <c r="F6" i="12"/>
  <c r="E6" i="12"/>
  <c r="D6" i="12"/>
  <c r="C6" i="12"/>
  <c r="H4" i="12"/>
  <c r="G4" i="12"/>
  <c r="F4" i="12"/>
  <c r="E4" i="12"/>
  <c r="D4" i="12"/>
  <c r="C4" i="12"/>
  <c r="H3" i="12"/>
  <c r="G3" i="12"/>
  <c r="F3" i="12"/>
  <c r="E3" i="12"/>
  <c r="D3" i="12"/>
  <c r="C3" i="12"/>
  <c r="H3" i="8"/>
  <c r="G3" i="8"/>
  <c r="F3" i="8"/>
  <c r="C3" i="8"/>
  <c r="J3" i="1" l="1"/>
  <c r="E13" i="5" s="1"/>
  <c r="E3" i="5" s="1"/>
  <c r="F3" i="4"/>
  <c r="G3" i="4"/>
  <c r="L3" i="1"/>
  <c r="G13" i="5" l="1"/>
  <c r="G3" i="5" s="1"/>
  <c r="F13" i="5"/>
  <c r="F3" i="5" s="1"/>
  <c r="E17" i="21"/>
  <c r="E15" i="21"/>
  <c r="E12" i="21" s="1"/>
  <c r="D12" i="21"/>
  <c r="D3" i="21" s="1"/>
  <c r="E20" i="21"/>
  <c r="D4" i="8" l="1"/>
  <c r="D3" i="8" s="1"/>
  <c r="E3" i="21"/>
  <c r="E4" i="8"/>
  <c r="E3" i="8" s="1"/>
</calcChain>
</file>

<file path=xl/sharedStrings.xml><?xml version="1.0" encoding="utf-8"?>
<sst xmlns="http://schemas.openxmlformats.org/spreadsheetml/2006/main" count="1483" uniqueCount="366">
  <si>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</si>
  <si>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</si>
  <si>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</si>
  <si>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</si>
  <si>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</si>
  <si>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</si>
  <si>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</si>
  <si>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</si>
  <si>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</si>
  <si>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</si>
  <si>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</si>
  <si>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</si>
  <si>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</si>
  <si>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</si>
  <si>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</si>
  <si>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</si>
  <si>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</si>
  <si>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</si>
  <si>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</si>
  <si>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</si>
  <si>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</si>
  <si>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</si>
  <si>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</si>
  <si>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</si>
  <si>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</si>
  <si>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</si>
  <si>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</si>
  <si>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</si>
  <si>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</si>
  <si>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</si>
  <si>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</si>
  <si>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</si>
  <si>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</si>
  <si>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</si>
  <si>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</si>
  <si>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</si>
  <si>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</si>
  <si>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</si>
  <si>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</si>
  <si>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</si>
  <si>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</si>
  <si>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</si>
  <si>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</si>
  <si>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</si>
  <si>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</si>
  <si>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</si>
  <si>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</si>
  <si>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</si>
  <si>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</si>
  <si>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</si>
  <si>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</si>
  <si>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</si>
  <si>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</si>
  <si>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</si>
  <si>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</si>
  <si>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</si>
  <si>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</si>
  <si>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</si>
  <si>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</si>
  <si>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</si>
  <si>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</si>
  <si>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</si>
  <si>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</si>
  <si>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</si>
  <si>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</si>
  <si>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</si>
  <si>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</si>
  <si>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</si>
  <si>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</si>
  <si>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</si>
  <si>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</si>
  <si>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</si>
  <si>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</si>
  <si>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</si>
  <si>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</si>
  <si>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</si>
  <si>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</si>
  <si>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</si>
  <si>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</si>
  <si>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</si>
  <si>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</si>
  <si>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</si>
  <si>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</si>
  <si>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</si>
  <si>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</si>
  <si>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</si>
  <si>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</si>
  <si>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</si>
  <si>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</si>
  <si>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</si>
  <si>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</si>
  <si>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</si>
  <si>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</si>
  <si>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</si>
  <si>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</si>
  <si>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</si>
  <si>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</si>
  <si>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</si>
  <si>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</si>
  <si>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</si>
  <si>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</si>
  <si>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</si>
  <si>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</si>
  <si>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</si>
  <si>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</si>
  <si>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</si>
  <si>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</si>
  <si>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</si>
  <si>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</si>
  <si>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</si>
  <si>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</si>
  <si>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</si>
  <si>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</si>
  <si>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</si>
  <si>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</si>
  <si>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</si>
  <si>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</si>
  <si>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</si>
  <si>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</si>
  <si>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</si>
  <si>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</si>
  <si>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</si>
  <si>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</si>
  <si>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</si>
  <si>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</si>
  <si>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</si>
  <si>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</si>
  <si>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</si>
  <si>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</si>
  <si>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</si>
  <si>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</si>
  <si>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</si>
  <si>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</si>
  <si>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</si>
  <si>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</si>
  <si>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</si>
  <si>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</si>
  <si>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</si>
  <si>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</si>
  <si>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</si>
  <si>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</si>
  <si>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</si>
  <si>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</si>
  <si>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</si>
  <si>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</si>
  <si>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</si>
  <si>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</si>
  <si>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</si>
  <si>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</si>
  <si>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</si>
  <si>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</si>
  <si>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</si>
  <si>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</si>
  <si>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</si>
  <si>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</si>
  <si>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</si>
  <si>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</si>
  <si>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</si>
  <si>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</si>
  <si>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</si>
  <si>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</si>
  <si>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</si>
  <si>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</si>
  <si>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</si>
  <si>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</si>
  <si>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</si>
  <si>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</si>
  <si>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</si>
  <si>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</si>
  <si>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</si>
  <si>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</si>
  <si>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</si>
  <si>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</si>
  <si>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</si>
  <si>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</si>
  <si>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</si>
  <si>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</si>
  <si>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Nombre del ente público
ESTADO ANALÍTICO DEL EJERCICIO DEL PRESUPUESTO DE EGRESOS
CLASIFICACIÓN ADMINISTRATIVA
DEL 1 DE ENERO AL XXX DE 2017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</si>
  <si>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</si>
  <si>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Administracion y Evento Ferial</t>
  </si>
  <si>
    <t>Eventp Ferial</t>
  </si>
  <si>
    <t>2.4.2</t>
  </si>
  <si>
    <t>E0001</t>
  </si>
  <si>
    <t>31120-8501</t>
  </si>
  <si>
    <t>2.1.1.2</t>
  </si>
  <si>
    <t>Gastos de orden social y cultural</t>
  </si>
  <si>
    <t>2.1.1.1</t>
  </si>
  <si>
    <t>Honorarios Asimilables</t>
  </si>
  <si>
    <t>Compensaciones por Servicios</t>
  </si>
  <si>
    <t>Aportaciones IMSS</t>
  </si>
  <si>
    <t>Aportaciones INFONAVIT</t>
  </si>
  <si>
    <t>Ahorro para el Retiro</t>
  </si>
  <si>
    <t>Productos Alimenticios para el Personal en las Instalaciones de las Dependencias y Entidades</t>
  </si>
  <si>
    <t>Servicio de energía Eléctrica</t>
  </si>
  <si>
    <t>Contratación de Otros Servicios</t>
  </si>
  <si>
    <t>Servicios de Vigilancia</t>
  </si>
  <si>
    <t>Servicios Profesionales, Científicos y Técnicos Integrales</t>
  </si>
  <si>
    <t>Servicios de Recaudación</t>
  </si>
  <si>
    <t>Conservación y Mantenimiento de Inmuebles</t>
  </si>
  <si>
    <t>Servicio de Limpieza y Manejo de Desechos</t>
  </si>
  <si>
    <t>Promoción para la Venta de Bienes y Servicios</t>
  </si>
  <si>
    <t>Gastos de Orden Social y Cultural</t>
  </si>
  <si>
    <t>2.1.5.1</t>
  </si>
  <si>
    <t>Gastos Relacionados con Actividades Culturales, Deportivas y de Ayuda Extraordinaria</t>
  </si>
  <si>
    <t>Donativos a Instituciones sin Fines de Lucro</t>
  </si>
  <si>
    <t>Administracion</t>
  </si>
  <si>
    <t>E0002</t>
  </si>
  <si>
    <t>Sueldos Base</t>
  </si>
  <si>
    <t>Prima Vacacional</t>
  </si>
  <si>
    <t>Gratificación de Fin de Año</t>
  </si>
  <si>
    <t>Cuotas para el Fondo de Ahorro</t>
  </si>
  <si>
    <t>Liquidacion por Indemnizacion por Sueldos y Salarios Caidos</t>
  </si>
  <si>
    <t>Materiales y Útiles de Oficina</t>
  </si>
  <si>
    <t>Equipos Menores de Oficina</t>
  </si>
  <si>
    <t>Materiales y Útiles de Impresión y Reproducción</t>
  </si>
  <si>
    <t>Combustibles, Lubricantes y Aditivos para Vehículos Terrestres, Aéreos, Marítimos, Lacustres y Fluviales Asignados a Servidores Públicos</t>
  </si>
  <si>
    <t>Vestuari y Uniformes</t>
  </si>
  <si>
    <t xml:space="preserve">Refacciones y Accesorios Menores de Equipo de Cómputo y Tecnologías de la Información </t>
  </si>
  <si>
    <t>Servicio de Telefonia Tradicional</t>
  </si>
  <si>
    <t>Servicio Telefonia Celular</t>
  </si>
  <si>
    <t>Servicio Postal</t>
  </si>
  <si>
    <t>Servicios Legales</t>
  </si>
  <si>
    <t>Servicios de Capacitacion</t>
  </si>
  <si>
    <t>Servicios Financieros y Bancarios</t>
  </si>
  <si>
    <t>Seguros de Bienes Patrimoniales</t>
  </si>
  <si>
    <t>Instalación, Reparación y Mantenimiento de Mobiliario y Equipo de Administración</t>
  </si>
  <si>
    <t>Mantenimiento y Conservacion de Vehículos Terrestres, Aéreos, Marítimos, Lacustres y Fluviales</t>
  </si>
  <si>
    <t>Difusión de Actividades y Mensajes Gubernamentales</t>
  </si>
  <si>
    <t>Servicios de Creatividad, Reproducción y Publicidad, Excepto Internet</t>
  </si>
  <si>
    <t>Servicios de Creación y Difusión de Contenido Exclusivamnte a Través de Internet</t>
  </si>
  <si>
    <t>Otros Servicios de Información</t>
  </si>
  <si>
    <t>Pasajes terrestres nacionales para servidores públicos en el desempeño de comisiones y funciones oficiales</t>
  </si>
  <si>
    <t>Viaticos Nacionales para Servidores Públicos en el Desempeño de Funciones Oficiales</t>
  </si>
  <si>
    <t>Otros servicios de traslado y hospedaje</t>
  </si>
  <si>
    <t xml:space="preserve">Gastos de las oficinas de servidores públicos superiores y mandos medios </t>
  </si>
  <si>
    <t>Gastos de Representación</t>
  </si>
  <si>
    <t>Otros impuestos y derechos</t>
  </si>
  <si>
    <t>Impuestos Sobre Nomina</t>
  </si>
  <si>
    <t>Servicios de diseño, arquitectura, ingenieria y actividades relacionadas</t>
  </si>
  <si>
    <t>Edificación no Habitacional</t>
  </si>
  <si>
    <t>2.2.2.2</t>
  </si>
  <si>
    <t>Computadoras y Equipo Periferico</t>
  </si>
  <si>
    <t>2.2.1.0</t>
  </si>
  <si>
    <t>Ventas y Eventos</t>
  </si>
  <si>
    <t>Ventas</t>
  </si>
  <si>
    <t>E0003</t>
  </si>
  <si>
    <t>31120-8502</t>
  </si>
  <si>
    <t>Expo Cabra</t>
  </si>
  <si>
    <t>E0006</t>
  </si>
  <si>
    <t>Impuesto sobre nomina</t>
  </si>
  <si>
    <t>Otros Arrendamientos</t>
  </si>
  <si>
    <t>Eventos Patronato</t>
  </si>
  <si>
    <t>E0007</t>
  </si>
  <si>
    <t>Eventos Sociales</t>
  </si>
  <si>
    <t>E0008</t>
  </si>
  <si>
    <t>Arrendamiento de Mobiliario y Equipo de Administración</t>
  </si>
  <si>
    <t>Mantenimiento y Aviario</t>
  </si>
  <si>
    <t>Mantenimiento</t>
  </si>
  <si>
    <t>E0004</t>
  </si>
  <si>
    <t>31120-8503</t>
  </si>
  <si>
    <t>Papeleria y Utiles de Oficina</t>
  </si>
  <si>
    <t>Material de Limpieza</t>
  </si>
  <si>
    <t>Materiales de Construcción de Concreto</t>
  </si>
  <si>
    <t>Material Eléctrico y Electrónico</t>
  </si>
  <si>
    <t>Materiales Diversos</t>
  </si>
  <si>
    <t>Combustible, Lubricantes y Aditivos para Maquinaria, Equipo de Producción y Servicios Administrativos</t>
  </si>
  <si>
    <t>Prendas de Seguridad</t>
  </si>
  <si>
    <t>Herramientas Menores</t>
  </si>
  <si>
    <t>Seguros de Responsabilidad Patrimonial y Fianzas</t>
  </si>
  <si>
    <t>Fletes y Maniobras</t>
  </si>
  <si>
    <t>Instalación, Reparación y Mantenimiento de Maquinaria, Otros Equipos y Herramienta</t>
  </si>
  <si>
    <t>Servicios de Jardinería y Fumigación</t>
  </si>
  <si>
    <t>Automoviles y Camiones</t>
  </si>
  <si>
    <t>Herramientas y maquinas -herramienta</t>
  </si>
  <si>
    <t>Aviario</t>
  </si>
  <si>
    <t>E0005</t>
  </si>
  <si>
    <t>Productos Alimenticios para Animales</t>
  </si>
  <si>
    <t>PATRONATO DE L FERIA REGIONAL PUERTA DE ORO DEL BAJÍO
ESTADO ANALÍTICO DEL EJERCICIO DEL PRESUPUESTO DE EGRESOS
CLASIFICACIÓN POR OBJETO DEL GASTO (CAPÍTULO Y CONCEPTO)
DEL 1 DE ENERO AL 31 DE MARZO DE 2017</t>
  </si>
  <si>
    <t>EVENTO FERIAL</t>
  </si>
  <si>
    <t>VENTAS</t>
  </si>
  <si>
    <t>ADMINISTRACIÓN</t>
  </si>
  <si>
    <t>EXPO CABRA</t>
  </si>
  <si>
    <t>EVENTOS PATRONATO</t>
  </si>
  <si>
    <t>EVENTOS SOCIALES</t>
  </si>
  <si>
    <t xml:space="preserve">MANTENIMIENTO </t>
  </si>
  <si>
    <t>AVIARIO</t>
  </si>
  <si>
    <t>ADEFAS</t>
  </si>
  <si>
    <t>PATRONATO DE LA FERIA REGIONAL PUERTA DE ORO DEL BAJÍO
ESTADO ANALÍTICO DEL EJERCICIO DEL PRESUPUESTO DE EGRESOS
DEL 1 DE ENERO AL 30 DE SEPTIEMBRE DE 2017</t>
  </si>
  <si>
    <t>Arrendam de Mobil y Eq de administración</t>
  </si>
  <si>
    <t>ATENTAMENTE</t>
  </si>
  <si>
    <t>C. JUAN CARLOS ROJAS MORET</t>
  </si>
  <si>
    <t>DIRECTOR DEL PATRONATO DE LA FERIA REGIONAL PUERTA DE ORO DEL BAJÍO</t>
  </si>
  <si>
    <t>CULTURA</t>
  </si>
  <si>
    <t>Feria de Navidad</t>
  </si>
  <si>
    <t>RECURSOS FISCALES</t>
  </si>
  <si>
    <t>ADMINISTRACIÓN GENERAL</t>
  </si>
  <si>
    <t>GASTO CORRIENTE</t>
  </si>
  <si>
    <t>Servicios de vigilancia</t>
  </si>
  <si>
    <t>INGRESOS PROPIOS</t>
  </si>
  <si>
    <t>Honorarios asimilados</t>
  </si>
  <si>
    <t>Compensaciones por servicios</t>
  </si>
  <si>
    <t>Ahorro para el retiro</t>
  </si>
  <si>
    <t>Prod Alim p pers en instalac de depend y ent</t>
  </si>
  <si>
    <t>Servicio de energía eléctrica</t>
  </si>
  <si>
    <t>Contratación de otros servicios</t>
  </si>
  <si>
    <t>Serv profesionales científicos y tec integrales</t>
  </si>
  <si>
    <t>Serv de recaudación traslado y custodia valores</t>
  </si>
  <si>
    <t>Conservación y mantenimiento de inmuebles</t>
  </si>
  <si>
    <t>Servicios de limpieza y manejo de desechos</t>
  </si>
  <si>
    <t>Promoción para la venta de bienes o servicios</t>
  </si>
  <si>
    <t>Gastos relac con activ culturales deport y ayu</t>
  </si>
  <si>
    <t>Donativos a instituciones sin fines de lucro</t>
  </si>
  <si>
    <t>GASTO DE CAPITAL</t>
  </si>
  <si>
    <t>Otros equipos</t>
  </si>
  <si>
    <t>RECURSOS ESTATALES</t>
  </si>
  <si>
    <t>Administración</t>
  </si>
  <si>
    <t>Gratificación de fin de año</t>
  </si>
  <si>
    <t>Cuotas para el fondo de ahorro</t>
  </si>
  <si>
    <t>Liquid por indem y sueldos y salarios caídos</t>
  </si>
  <si>
    <t>Materiales y útiles de oficina</t>
  </si>
  <si>
    <t>Equipos menores de oficina</t>
  </si>
  <si>
    <t>Materiales y útiles de impresión y reproducción</t>
  </si>
  <si>
    <t>Combus Lub y aditivos vehículos Serv Pub</t>
  </si>
  <si>
    <t>Vestuario y uniformes</t>
  </si>
  <si>
    <t>Ref y Acces men Eq cómputo y tecn de la Info</t>
  </si>
  <si>
    <t>Servicio telefonía tradicional</t>
  </si>
  <si>
    <t>Servicio telefonía celular</t>
  </si>
  <si>
    <t>Servicio postal</t>
  </si>
  <si>
    <t>Servicios legales</t>
  </si>
  <si>
    <t>Servicios de capacitación</t>
  </si>
  <si>
    <t>Servicios financieros y bancarios</t>
  </si>
  <si>
    <t>Seguro de bienes patrimoniales</t>
  </si>
  <si>
    <t>Instal Rep y mantto  de Mobil y Eq de admon</t>
  </si>
  <si>
    <t>Mantto y conserv Veh terrestres aéreos mariti</t>
  </si>
  <si>
    <t>Difusión e Info mensajes activ gubernamentales</t>
  </si>
  <si>
    <t>Serv de creatividad preproducción y producción d</t>
  </si>
  <si>
    <t>Servicio de creación y difusión contenido exclusiv</t>
  </si>
  <si>
    <t>Otros servicios de información</t>
  </si>
  <si>
    <t>Pasajes terr nac p  Serv pub en comisiones</t>
  </si>
  <si>
    <t>Viáticos nac p Serv pub Desemp funciones ofic</t>
  </si>
  <si>
    <t>Gastos ofic Serv pub superiores y mandos medios</t>
  </si>
  <si>
    <t>Gastos de representación</t>
  </si>
  <si>
    <t>Impuesto sobre nóminas</t>
  </si>
  <si>
    <t>Serv de diseño arquitectura ing y activ relac</t>
  </si>
  <si>
    <t>Edificación no habitacional</t>
  </si>
  <si>
    <t>Computadoras y equipo periférico</t>
  </si>
  <si>
    <t>MATENIMIENTO Y ADECUACIÓN DE INST.</t>
  </si>
  <si>
    <t>Material de limpieza</t>
  </si>
  <si>
    <t>Materiales de construcción de concreto</t>
  </si>
  <si>
    <t>Material eléctrico y electrónico</t>
  </si>
  <si>
    <t>Materiales diversos</t>
  </si>
  <si>
    <t>Combus Lub y aditp maq eq Prod y serv Admin</t>
  </si>
  <si>
    <t>Prendas de seguridad</t>
  </si>
  <si>
    <t>Herramientas menores</t>
  </si>
  <si>
    <t>Seguros de responsabilidad patrimonial y fianzas</t>
  </si>
  <si>
    <t>Fletes y maniobras</t>
  </si>
  <si>
    <t>Instal Rep y mantto de maq otros Eq y herrami</t>
  </si>
  <si>
    <t>Servicios de jardinería y fumigación</t>
  </si>
  <si>
    <t>Automóviles y camiones</t>
  </si>
  <si>
    <t>Constr de obras p abastecde agua petróleo gas</t>
  </si>
  <si>
    <t>Productos alimenticios para animales</t>
  </si>
  <si>
    <t>PATRONATO DE LA FERIA REGIONAL  PUERTA DE ORO DEL BAJÍO
ESTADO ANALÍTICO DEL EJERCICIO DEL PRESUPUESTO DE EGRESOS POR OBJETO DEL GASTO (CAPÍTULO Y CONCEPTO)
AL 31 DE DICIEMBRE DEL 2017</t>
  </si>
  <si>
    <t>PATRONATO DE LA FERIA REGIONAL PUERTA DE ORO DEL BAJÍO
ESTADO ANALÍTICO DEL EJERCICIO DEL PRESUPUESTO DE EGRESOS
CLASIFICACIÓN ADMINISTRATIVA
DEL 1 DE ENERO AL 31 DE DICIEMBRE DE 2017</t>
  </si>
  <si>
    <t>PATRONATO DE LA FERIA REGIONAL PUERTA DE ORO DEL BAJÍO
ESTADO ANALÍTICO DEL EJERCICIO DEL PRESUPUESTO DE EGRESOS
CLASIFICACIÓN ECONÓMICA (POR TIPO DE GASTO)
DEL 1 DE ENERO AL 31 DE DICIEMBRE DE 2017</t>
  </si>
  <si>
    <t>PATRONATO DE LA FERIA REGIONAL PUERTA DE ORO DEL BAJÍO
ESTADO ANALÍTICO DEL EJERCICIO DEL PRESUPUESTO DE EGRESOS
CLASIFICACIÓN FUNCIONAL (FINALIDAD Y FUNCIÓN)
DEL 1 DE ENERO AL 31 DE DICIEMBRE DE 2017</t>
  </si>
  <si>
    <t>PATRONATO DE LA FERIA REGIONAL PUERTA DE ORO DEL BAJÍO
ESTADO ANALÍTICO DEL EJERCICIO DEL PRESUPUESTO DE EGRESOS
CLASIFICACIÓN POR OBJETO DEL GASTO (CAPÍTULO Y CONCEPTO)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</si>
</sst>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#,##0.00\ _€"/>
    <numFmt numFmtId="168" formatCode="#,##0.00_ ;\-#,##0.00\ 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4" fillId="0" borderId="0"/>
  </cellStyleXfs>
  <cellXfs count="116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0" fontId="0" fillId="0" borderId="0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4" fontId="9" fillId="0" borderId="0" xfId="0" applyNumberFormat="1" applyFont="1" applyFill="1" applyBorder="1" applyProtection="1">
      <protection locked="0"/>
    </xf>
    <xf numFmtId="4" fontId="0" fillId="0" borderId="0" xfId="0" applyNumberFormat="1" applyFont="1" applyFill="1" applyBorder="1" applyProtection="1"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16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 applyFont="1" applyFill="1" applyBorder="1" applyAlignment="1" applyProtection="1">
      <protection locked="0"/>
    </xf>
    <xf numFmtId="0" fontId="0" fillId="0" borderId="0" xfId="0" applyFont="1" applyFill="1" applyBorder="1" applyAlignment="1" applyProtection="1">
      <alignment horizontal="right" wrapText="1"/>
      <protection locked="0"/>
    </xf>
    <xf numFmtId="4" fontId="0" fillId="0" borderId="0" xfId="0" applyNumberFormat="1" applyProtection="1">
      <protection locked="0"/>
    </xf>
    <xf numFmtId="0" fontId="0" fillId="0" borderId="0" xfId="0" applyFont="1" applyFill="1" applyProtection="1">
      <protection locked="0"/>
    </xf>
    <xf numFmtId="4" fontId="0" fillId="0" borderId="0" xfId="0" applyNumberFormat="1" applyFont="1" applyFill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3" fillId="0" borderId="0" xfId="16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Protection="1"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 applyProtection="1">
      <alignment vertical="top" wrapText="1"/>
      <protection locked="0"/>
    </xf>
    <xf numFmtId="4" fontId="2" fillId="0" borderId="0" xfId="8" applyNumberFormat="1" applyFont="1" applyBorder="1" applyAlignment="1" applyProtection="1">
      <alignment vertical="top"/>
      <protection locked="0"/>
    </xf>
    <xf numFmtId="0" fontId="2" fillId="0" borderId="0" xfId="9" applyFont="1" applyFill="1" applyBorder="1" applyAlignment="1" applyProtection="1">
      <protection locked="0"/>
    </xf>
    <xf numFmtId="167" fontId="9" fillId="0" borderId="0" xfId="0" applyNumberFormat="1" applyFont="1" applyProtection="1">
      <protection locked="0"/>
    </xf>
    <xf numFmtId="167" fontId="11" fillId="0" borderId="0" xfId="0" applyNumberFormat="1" applyFont="1" applyProtection="1">
      <protection locked="0"/>
    </xf>
    <xf numFmtId="4" fontId="11" fillId="0" borderId="0" xfId="0" applyNumberFormat="1" applyFont="1" applyProtection="1">
      <protection locked="0"/>
    </xf>
    <xf numFmtId="168" fontId="0" fillId="0" borderId="0" xfId="0" applyNumberFormat="1" applyFont="1" applyBorder="1" applyProtection="1">
      <protection locked="0"/>
    </xf>
    <xf numFmtId="168" fontId="0" fillId="0" borderId="7" xfId="0" applyNumberFormat="1" applyFont="1" applyBorder="1" applyProtection="1"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  <xf numFmtId="0" fontId="2" fillId="0" borderId="10" xfId="9" applyFont="1" applyFill="1" applyBorder="1" applyAlignment="1" applyProtection="1">
      <alignment horizontal="center" vertical="center" wrapText="1"/>
      <protection locked="0"/>
    </xf>
    <xf numFmtId="0" fontId="2" fillId="0" borderId="11" xfId="9" applyFont="1" applyFill="1" applyBorder="1" applyAlignment="1" applyProtection="1">
      <alignment horizontal="center" vertical="center" wrapText="1"/>
      <protection locked="0"/>
    </xf>
    <xf numFmtId="0" fontId="2" fillId="0" borderId="12" xfId="9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horizontal="center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COG 2010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104775</xdr:rowOff>
    </xdr:from>
    <xdr:to>
      <xdr:col>1</xdr:col>
      <xdr:colOff>76200</xdr:colOff>
      <xdr:row>0</xdr:row>
      <xdr:rowOff>609600</xdr:rowOff>
    </xdr:to>
    <xdr:pic>
      <xdr:nvPicPr>
        <xdr:cNvPr id="2" name="1 Imagen" descr="D:\Documents and Settings\Administrador\Mis documentos\Google Drive\Ecofórum Celaya 2013\Logos\Logo Ecofórum Celay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4775"/>
          <a:ext cx="514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6"/>
  <sheetViews>
    <sheetView zoomScaleNormal="100" workbookViewId="0">
      <selection activeCell="H16" sqref="H16"/>
    </sheetView>
  </sheetViews>
  <sheetFormatPr baseColWidth="10" defaultRowHeight="11.25" x14ac:dyDescent="0.2"/>
  <cols>
    <col min="1" max="3" width="4.83203125" style="55" customWidth="1"/>
    <col min="4" max="5" width="9.1640625" style="55" customWidth="1"/>
    <col min="6" max="6" width="8.1640625" style="55" bestFit="1" customWidth="1"/>
    <col min="7" max="7" width="57.6640625" style="54" customWidth="1"/>
    <col min="8" max="8" width="12.6640625" style="54" bestFit="1" customWidth="1"/>
    <col min="9" max="9" width="15.83203125" style="54" bestFit="1" customWidth="1"/>
    <col min="10" max="10" width="12.6640625" style="54" bestFit="1" customWidth="1"/>
    <col min="11" max="11" width="16" style="54" bestFit="1" customWidth="1"/>
    <col min="12" max="12" width="12.6640625" style="54" bestFit="1" customWidth="1"/>
    <col min="13" max="14" width="11.6640625" style="54" bestFit="1" customWidth="1"/>
    <col min="15" max="15" width="13.83203125" style="54" bestFit="1" customWidth="1"/>
    <col min="16" max="16384" width="12" style="54"/>
  </cols>
  <sheetData>
    <row r="1" spans="1:15" ht="35.1" customHeight="1" x14ac:dyDescent="0.2">
      <c r="A1" s="108" t="s">
        <v>287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/>
    </row>
    <row r="2" spans="1:15" ht="24.95" customHeight="1" x14ac:dyDescent="0.2">
      <c r="A2" s="40" t="s">
        <v>0</v>
      </c>
      <c r="B2" s="50" t="s">
        <v>1</v>
      </c>
      <c r="C2" s="40" t="s">
        <v>13</v>
      </c>
      <c r="D2" s="50" t="s">
        <v>2</v>
      </c>
      <c r="E2" s="40" t="s">
        <v>16</v>
      </c>
      <c r="F2" s="40" t="s">
        <v>3</v>
      </c>
      <c r="G2" s="40" t="s">
        <v>4</v>
      </c>
      <c r="H2" s="41" t="s">
        <v>5</v>
      </c>
      <c r="I2" s="41" t="s">
        <v>143</v>
      </c>
      <c r="J2" s="41" t="s">
        <v>6</v>
      </c>
      <c r="K2" s="41" t="s">
        <v>7</v>
      </c>
      <c r="L2" s="41" t="s">
        <v>8</v>
      </c>
      <c r="M2" s="41" t="s">
        <v>9</v>
      </c>
      <c r="N2" s="41" t="s">
        <v>10</v>
      </c>
      <c r="O2" s="41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f>+H6+H80+H129</f>
        <v>85282391</v>
      </c>
      <c r="I3" s="6">
        <f t="shared" ref="I3:O3" si="0">+I6+I80+I129</f>
        <v>6268660</v>
      </c>
      <c r="J3" s="6">
        <f t="shared" si="0"/>
        <v>91551051</v>
      </c>
      <c r="K3" s="6">
        <f t="shared" si="0"/>
        <v>0</v>
      </c>
      <c r="L3" s="6">
        <f t="shared" si="0"/>
        <v>4095152.4999999995</v>
      </c>
      <c r="M3" s="6">
        <f t="shared" ref="M3:N3" si="1">+M6+M80+M129</f>
        <v>4095152.4999999995</v>
      </c>
      <c r="N3" s="6">
        <f t="shared" si="1"/>
        <v>4095152.4999999995</v>
      </c>
      <c r="O3" s="6">
        <f t="shared" si="0"/>
        <v>0</v>
      </c>
    </row>
    <row r="5" spans="1:15" s="93" customFormat="1" x14ac:dyDescent="0.2">
      <c r="A5" s="91"/>
      <c r="B5" s="91"/>
      <c r="C5" s="91"/>
      <c r="D5" s="91"/>
      <c r="E5" s="91"/>
      <c r="F5" s="91"/>
      <c r="G5" s="91"/>
      <c r="H5" s="92"/>
      <c r="I5" s="92"/>
      <c r="J5" s="92"/>
      <c r="K5" s="92"/>
      <c r="L5" s="92"/>
      <c r="M5" s="92"/>
      <c r="N5" s="92"/>
      <c r="O5" s="92"/>
    </row>
    <row r="6" spans="1:15" s="93" customFormat="1" x14ac:dyDescent="0.2">
      <c r="A6" s="79"/>
      <c r="B6" s="79"/>
      <c r="C6" s="79"/>
      <c r="D6" s="79"/>
      <c r="E6" s="79"/>
      <c r="F6" s="79"/>
      <c r="G6" s="80" t="s">
        <v>179</v>
      </c>
      <c r="H6" s="81">
        <f t="shared" ref="H6:L6" si="2">+H7+H31</f>
        <v>76466264</v>
      </c>
      <c r="I6" s="81">
        <f t="shared" si="2"/>
        <v>6766990.1699999999</v>
      </c>
      <c r="J6" s="81">
        <f t="shared" si="2"/>
        <v>83233254.170000002</v>
      </c>
      <c r="K6" s="81">
        <f t="shared" si="2"/>
        <v>0</v>
      </c>
      <c r="L6" s="81">
        <f t="shared" si="2"/>
        <v>2184773.4999999995</v>
      </c>
      <c r="M6" s="81">
        <f t="shared" ref="M6:N6" si="3">+M7+M31</f>
        <v>2184773.4999999995</v>
      </c>
      <c r="N6" s="81">
        <f t="shared" si="3"/>
        <v>2184773.4999999995</v>
      </c>
      <c r="O6" s="92"/>
    </row>
    <row r="7" spans="1:15" s="93" customFormat="1" x14ac:dyDescent="0.2">
      <c r="A7" s="79"/>
      <c r="B7" s="79"/>
      <c r="C7" s="79"/>
      <c r="D7" s="79"/>
      <c r="E7" s="79"/>
      <c r="F7" s="79"/>
      <c r="G7" s="80" t="s">
        <v>180</v>
      </c>
      <c r="H7" s="81">
        <f t="shared" ref="H7:L7" si="4">SUM(H8:H27)</f>
        <v>24021183</v>
      </c>
      <c r="I7" s="81">
        <f t="shared" si="4"/>
        <v>150000</v>
      </c>
      <c r="J7" s="81">
        <f t="shared" si="4"/>
        <v>24171183</v>
      </c>
      <c r="K7" s="81">
        <f t="shared" si="4"/>
        <v>0</v>
      </c>
      <c r="L7" s="81">
        <f t="shared" si="4"/>
        <v>0</v>
      </c>
      <c r="M7" s="81">
        <f t="shared" ref="M7:N7" si="5">SUM(M8:M27)</f>
        <v>0</v>
      </c>
      <c r="N7" s="81">
        <f t="shared" si="5"/>
        <v>0</v>
      </c>
      <c r="O7" s="92"/>
    </row>
    <row r="8" spans="1:15" s="93" customFormat="1" x14ac:dyDescent="0.2">
      <c r="A8" s="79" t="s">
        <v>181</v>
      </c>
      <c r="B8" s="79" t="s">
        <v>182</v>
      </c>
      <c r="C8" s="79">
        <v>1</v>
      </c>
      <c r="D8" s="79" t="s">
        <v>183</v>
      </c>
      <c r="E8" s="79" t="s">
        <v>184</v>
      </c>
      <c r="F8" s="79">
        <v>3821</v>
      </c>
      <c r="G8" s="79" t="s">
        <v>185</v>
      </c>
      <c r="H8" s="82">
        <v>7000000</v>
      </c>
      <c r="I8" s="82">
        <v>-550000</v>
      </c>
      <c r="J8" s="82">
        <f>+H8+I8</f>
        <v>6450000</v>
      </c>
      <c r="K8" s="82">
        <v>0</v>
      </c>
      <c r="L8" s="82">
        <f t="shared" ref="L8:L14" si="6">+M8</f>
        <v>0</v>
      </c>
      <c r="M8" s="82">
        <f t="shared" ref="M8" si="7">+N8</f>
        <v>0</v>
      </c>
      <c r="N8" s="82">
        <f t="shared" ref="N8" si="8">+O8</f>
        <v>0</v>
      </c>
      <c r="O8" s="92"/>
    </row>
    <row r="9" spans="1:15" s="93" customFormat="1" x14ac:dyDescent="0.2">
      <c r="A9" s="79"/>
      <c r="B9" s="79"/>
      <c r="C9" s="79"/>
      <c r="D9" s="79"/>
      <c r="E9" s="79"/>
      <c r="F9" s="79">
        <v>3381</v>
      </c>
      <c r="G9" s="83" t="s">
        <v>195</v>
      </c>
      <c r="H9" s="82">
        <v>0</v>
      </c>
      <c r="I9" s="82">
        <v>700000</v>
      </c>
      <c r="J9" s="82">
        <f>+H9+I9</f>
        <v>700000</v>
      </c>
      <c r="K9" s="82">
        <v>0</v>
      </c>
      <c r="L9" s="82">
        <v>0</v>
      </c>
      <c r="M9" s="82">
        <v>0</v>
      </c>
      <c r="N9" s="82">
        <v>0</v>
      </c>
      <c r="O9" s="92"/>
    </row>
    <row r="10" spans="1:15" s="93" customFormat="1" x14ac:dyDescent="0.2">
      <c r="A10" s="79" t="s">
        <v>181</v>
      </c>
      <c r="B10" s="79" t="s">
        <v>182</v>
      </c>
      <c r="C10" s="79">
        <v>4</v>
      </c>
      <c r="D10" s="79" t="s">
        <v>183</v>
      </c>
      <c r="E10" s="79" t="s">
        <v>186</v>
      </c>
      <c r="F10" s="79">
        <v>1212</v>
      </c>
      <c r="G10" s="83" t="s">
        <v>187</v>
      </c>
      <c r="H10" s="84">
        <v>318000</v>
      </c>
      <c r="I10" s="82">
        <v>0</v>
      </c>
      <c r="J10" s="82">
        <f t="shared" ref="J10:J26" si="9">+H10+I10</f>
        <v>318000</v>
      </c>
      <c r="K10" s="82">
        <v>0</v>
      </c>
      <c r="L10" s="82">
        <f t="shared" si="6"/>
        <v>0</v>
      </c>
      <c r="M10" s="82">
        <f t="shared" ref="M10:M16" si="10">+N10</f>
        <v>0</v>
      </c>
      <c r="N10" s="82">
        <f t="shared" ref="N10:N16" si="11">+O10</f>
        <v>0</v>
      </c>
      <c r="O10" s="92"/>
    </row>
    <row r="11" spans="1:15" s="93" customFormat="1" x14ac:dyDescent="0.2">
      <c r="A11" s="79"/>
      <c r="B11" s="79"/>
      <c r="C11" s="79"/>
      <c r="D11" s="79"/>
      <c r="E11" s="79"/>
      <c r="F11" s="79">
        <v>1342</v>
      </c>
      <c r="G11" s="83" t="s">
        <v>188</v>
      </c>
      <c r="H11" s="84">
        <v>94210</v>
      </c>
      <c r="I11" s="82">
        <v>0</v>
      </c>
      <c r="J11" s="82">
        <f t="shared" si="9"/>
        <v>94210</v>
      </c>
      <c r="K11" s="82">
        <v>0</v>
      </c>
      <c r="L11" s="82">
        <f t="shared" si="6"/>
        <v>0</v>
      </c>
      <c r="M11" s="82">
        <f t="shared" si="10"/>
        <v>0</v>
      </c>
      <c r="N11" s="82">
        <f t="shared" si="11"/>
        <v>0</v>
      </c>
      <c r="O11" s="92"/>
    </row>
    <row r="12" spans="1:15" s="93" customFormat="1" x14ac:dyDescent="0.2">
      <c r="A12" s="79"/>
      <c r="B12" s="79"/>
      <c r="C12" s="79"/>
      <c r="D12" s="79"/>
      <c r="E12" s="79"/>
      <c r="F12" s="79">
        <v>1413</v>
      </c>
      <c r="G12" s="83" t="s">
        <v>189</v>
      </c>
      <c r="H12" s="84">
        <v>20000</v>
      </c>
      <c r="I12" s="82">
        <v>0</v>
      </c>
      <c r="J12" s="82">
        <f t="shared" si="9"/>
        <v>20000</v>
      </c>
      <c r="K12" s="82">
        <v>0</v>
      </c>
      <c r="L12" s="82">
        <f t="shared" si="6"/>
        <v>0</v>
      </c>
      <c r="M12" s="82">
        <f t="shared" si="10"/>
        <v>0</v>
      </c>
      <c r="N12" s="82">
        <f t="shared" si="11"/>
        <v>0</v>
      </c>
      <c r="O12" s="92"/>
    </row>
    <row r="13" spans="1:15" s="93" customFormat="1" x14ac:dyDescent="0.2">
      <c r="A13" s="79"/>
      <c r="B13" s="79"/>
      <c r="C13" s="79"/>
      <c r="D13" s="79"/>
      <c r="E13" s="79"/>
      <c r="F13" s="79">
        <v>1421</v>
      </c>
      <c r="G13" s="83" t="s">
        <v>190</v>
      </c>
      <c r="H13" s="84">
        <v>6000</v>
      </c>
      <c r="I13" s="82">
        <v>0</v>
      </c>
      <c r="J13" s="82">
        <f t="shared" si="9"/>
        <v>6000</v>
      </c>
      <c r="K13" s="82">
        <v>0</v>
      </c>
      <c r="L13" s="82">
        <f t="shared" si="6"/>
        <v>0</v>
      </c>
      <c r="M13" s="82">
        <f t="shared" si="10"/>
        <v>0</v>
      </c>
      <c r="N13" s="82">
        <f t="shared" si="11"/>
        <v>0</v>
      </c>
      <c r="O13" s="92"/>
    </row>
    <row r="14" spans="1:15" s="93" customFormat="1" x14ac:dyDescent="0.2">
      <c r="A14" s="79"/>
      <c r="B14" s="79"/>
      <c r="C14" s="79"/>
      <c r="D14" s="79"/>
      <c r="E14" s="79"/>
      <c r="F14" s="79">
        <v>1431</v>
      </c>
      <c r="G14" s="83" t="s">
        <v>191</v>
      </c>
      <c r="H14" s="84">
        <v>6000</v>
      </c>
      <c r="I14" s="82">
        <v>0</v>
      </c>
      <c r="J14" s="82">
        <f t="shared" si="9"/>
        <v>6000</v>
      </c>
      <c r="K14" s="82">
        <v>0</v>
      </c>
      <c r="L14" s="82">
        <f t="shared" si="6"/>
        <v>0</v>
      </c>
      <c r="M14" s="82">
        <f t="shared" si="10"/>
        <v>0</v>
      </c>
      <c r="N14" s="82">
        <f t="shared" si="11"/>
        <v>0</v>
      </c>
      <c r="O14" s="92"/>
    </row>
    <row r="15" spans="1:15" s="93" customFormat="1" ht="22.5" x14ac:dyDescent="0.2">
      <c r="A15" s="79" t="s">
        <v>181</v>
      </c>
      <c r="B15" s="79" t="s">
        <v>182</v>
      </c>
      <c r="C15" s="79">
        <v>4</v>
      </c>
      <c r="D15" s="79" t="s">
        <v>183</v>
      </c>
      <c r="E15" s="79" t="s">
        <v>184</v>
      </c>
      <c r="F15" s="79">
        <v>2212</v>
      </c>
      <c r="G15" s="95" t="s">
        <v>192</v>
      </c>
      <c r="H15" s="84">
        <v>220000</v>
      </c>
      <c r="I15" s="82">
        <v>0</v>
      </c>
      <c r="J15" s="82">
        <f t="shared" si="9"/>
        <v>220000</v>
      </c>
      <c r="K15" s="82">
        <v>0</v>
      </c>
      <c r="L15" s="82">
        <f>+M15</f>
        <v>0</v>
      </c>
      <c r="M15" s="82">
        <f t="shared" si="10"/>
        <v>0</v>
      </c>
      <c r="N15" s="82">
        <f t="shared" si="11"/>
        <v>0</v>
      </c>
      <c r="O15" s="92"/>
    </row>
    <row r="16" spans="1:15" s="93" customFormat="1" x14ac:dyDescent="0.2">
      <c r="A16" s="79"/>
      <c r="B16" s="79"/>
      <c r="C16" s="79"/>
      <c r="D16" s="79"/>
      <c r="E16" s="79"/>
      <c r="F16" s="79">
        <v>3111</v>
      </c>
      <c r="G16" s="83" t="s">
        <v>193</v>
      </c>
      <c r="H16" s="84">
        <v>370000</v>
      </c>
      <c r="I16" s="82">
        <v>0</v>
      </c>
      <c r="J16" s="82">
        <f t="shared" si="9"/>
        <v>370000</v>
      </c>
      <c r="K16" s="82">
        <v>0</v>
      </c>
      <c r="L16" s="82">
        <f>+M16</f>
        <v>0</v>
      </c>
      <c r="M16" s="82">
        <f t="shared" si="10"/>
        <v>0</v>
      </c>
      <c r="N16" s="82">
        <f t="shared" si="11"/>
        <v>0</v>
      </c>
      <c r="O16" s="92"/>
    </row>
    <row r="17" spans="1:15" s="93" customFormat="1" x14ac:dyDescent="0.2">
      <c r="A17" s="79"/>
      <c r="B17" s="79"/>
      <c r="C17" s="79"/>
      <c r="D17" s="79"/>
      <c r="E17" s="79"/>
      <c r="F17" s="79">
        <v>3192</v>
      </c>
      <c r="G17" s="83" t="s">
        <v>194</v>
      </c>
      <c r="H17" s="84">
        <v>170000</v>
      </c>
      <c r="I17" s="82">
        <v>0</v>
      </c>
      <c r="J17" s="82">
        <f t="shared" si="9"/>
        <v>170000</v>
      </c>
      <c r="K17" s="82">
        <v>0</v>
      </c>
      <c r="L17" s="82">
        <v>0</v>
      </c>
      <c r="M17" s="82">
        <v>0</v>
      </c>
      <c r="N17" s="82">
        <v>0</v>
      </c>
      <c r="O17" s="92"/>
    </row>
    <row r="18" spans="1:15" s="93" customFormat="1" x14ac:dyDescent="0.2">
      <c r="A18" s="79"/>
      <c r="B18" s="79"/>
      <c r="C18" s="79"/>
      <c r="D18" s="79"/>
      <c r="E18" s="79"/>
      <c r="F18" s="79">
        <v>3381</v>
      </c>
      <c r="G18" s="83" t="s">
        <v>195</v>
      </c>
      <c r="H18" s="84">
        <v>1460000</v>
      </c>
      <c r="I18" s="82">
        <v>-750000</v>
      </c>
      <c r="J18" s="82">
        <f t="shared" si="9"/>
        <v>710000</v>
      </c>
      <c r="K18" s="82">
        <v>0</v>
      </c>
      <c r="L18" s="82">
        <f t="shared" ref="L18:L23" si="12">+M18</f>
        <v>0</v>
      </c>
      <c r="M18" s="82">
        <f t="shared" ref="M18:M24" si="13">+N18</f>
        <v>0</v>
      </c>
      <c r="N18" s="82">
        <f t="shared" ref="N18:N24" si="14">+O18</f>
        <v>0</v>
      </c>
      <c r="O18" s="92"/>
    </row>
    <row r="19" spans="1:15" s="93" customFormat="1" x14ac:dyDescent="0.2">
      <c r="A19" s="79"/>
      <c r="B19" s="79"/>
      <c r="C19" s="79"/>
      <c r="D19" s="79"/>
      <c r="E19" s="79"/>
      <c r="F19" s="79">
        <v>3391</v>
      </c>
      <c r="G19" s="83" t="s">
        <v>196</v>
      </c>
      <c r="H19" s="84">
        <v>585000</v>
      </c>
      <c r="I19" s="82">
        <v>0</v>
      </c>
      <c r="J19" s="82">
        <f t="shared" si="9"/>
        <v>585000</v>
      </c>
      <c r="K19" s="82">
        <v>0</v>
      </c>
      <c r="L19" s="82">
        <f t="shared" si="12"/>
        <v>0</v>
      </c>
      <c r="M19" s="82">
        <f t="shared" si="13"/>
        <v>0</v>
      </c>
      <c r="N19" s="82">
        <f t="shared" si="14"/>
        <v>0</v>
      </c>
      <c r="O19" s="92"/>
    </row>
    <row r="20" spans="1:15" s="93" customFormat="1" x14ac:dyDescent="0.2">
      <c r="A20" s="79"/>
      <c r="B20" s="79"/>
      <c r="C20" s="79"/>
      <c r="D20" s="79"/>
      <c r="E20" s="79"/>
      <c r="F20" s="79">
        <v>3431</v>
      </c>
      <c r="G20" s="83" t="s">
        <v>197</v>
      </c>
      <c r="H20" s="84">
        <v>80000</v>
      </c>
      <c r="I20" s="82">
        <v>0</v>
      </c>
      <c r="J20" s="82">
        <f t="shared" si="9"/>
        <v>80000</v>
      </c>
      <c r="K20" s="82">
        <v>0</v>
      </c>
      <c r="L20" s="82">
        <f t="shared" si="12"/>
        <v>0</v>
      </c>
      <c r="M20" s="82">
        <f t="shared" si="13"/>
        <v>0</v>
      </c>
      <c r="N20" s="82">
        <f t="shared" si="14"/>
        <v>0</v>
      </c>
      <c r="O20" s="92"/>
    </row>
    <row r="21" spans="1:15" s="93" customFormat="1" x14ac:dyDescent="0.2">
      <c r="A21" s="79"/>
      <c r="B21" s="79"/>
      <c r="C21" s="79"/>
      <c r="D21" s="79"/>
      <c r="E21" s="79"/>
      <c r="F21" s="79">
        <v>3511</v>
      </c>
      <c r="G21" s="83" t="s">
        <v>198</v>
      </c>
      <c r="H21" s="84">
        <v>2000000</v>
      </c>
      <c r="I21" s="82">
        <v>0</v>
      </c>
      <c r="J21" s="82">
        <f t="shared" si="9"/>
        <v>2000000</v>
      </c>
      <c r="K21" s="82">
        <v>0</v>
      </c>
      <c r="L21" s="82">
        <f t="shared" si="12"/>
        <v>0</v>
      </c>
      <c r="M21" s="82">
        <f t="shared" si="13"/>
        <v>0</v>
      </c>
      <c r="N21" s="82">
        <f t="shared" si="14"/>
        <v>0</v>
      </c>
      <c r="O21" s="92"/>
    </row>
    <row r="22" spans="1:15" s="93" customFormat="1" x14ac:dyDescent="0.2">
      <c r="A22" s="79"/>
      <c r="B22" s="79"/>
      <c r="C22" s="79"/>
      <c r="D22" s="79"/>
      <c r="E22" s="79"/>
      <c r="F22" s="79">
        <v>3581</v>
      </c>
      <c r="G22" s="83" t="s">
        <v>199</v>
      </c>
      <c r="H22" s="84">
        <v>180000</v>
      </c>
      <c r="I22" s="82">
        <v>0</v>
      </c>
      <c r="J22" s="82">
        <f t="shared" si="9"/>
        <v>180000</v>
      </c>
      <c r="K22" s="82">
        <v>0</v>
      </c>
      <c r="L22" s="82">
        <f t="shared" si="12"/>
        <v>0</v>
      </c>
      <c r="M22" s="82">
        <f t="shared" si="13"/>
        <v>0</v>
      </c>
      <c r="N22" s="82">
        <f t="shared" si="14"/>
        <v>0</v>
      </c>
      <c r="O22" s="92"/>
    </row>
    <row r="23" spans="1:15" s="93" customFormat="1" x14ac:dyDescent="0.2">
      <c r="A23" s="79"/>
      <c r="B23" s="79"/>
      <c r="C23" s="79"/>
      <c r="D23" s="79"/>
      <c r="E23" s="79"/>
      <c r="F23" s="79">
        <v>3621</v>
      </c>
      <c r="G23" s="83" t="s">
        <v>200</v>
      </c>
      <c r="H23" s="84">
        <v>1600000</v>
      </c>
      <c r="I23" s="82">
        <v>0</v>
      </c>
      <c r="J23" s="82">
        <f t="shared" si="9"/>
        <v>1600000</v>
      </c>
      <c r="K23" s="82">
        <v>0</v>
      </c>
      <c r="L23" s="82">
        <f t="shared" si="12"/>
        <v>0</v>
      </c>
      <c r="M23" s="82">
        <f t="shared" si="13"/>
        <v>0</v>
      </c>
      <c r="N23" s="82">
        <f t="shared" si="14"/>
        <v>0</v>
      </c>
      <c r="O23" s="92"/>
    </row>
    <row r="24" spans="1:15" s="93" customFormat="1" x14ac:dyDescent="0.2">
      <c r="A24" s="79"/>
      <c r="B24" s="79"/>
      <c r="C24" s="79"/>
      <c r="D24" s="79"/>
      <c r="E24" s="79"/>
      <c r="F24" s="79">
        <v>3821</v>
      </c>
      <c r="G24" s="83" t="s">
        <v>201</v>
      </c>
      <c r="H24" s="84">
        <v>8391973</v>
      </c>
      <c r="I24" s="82">
        <v>750000</v>
      </c>
      <c r="J24" s="82">
        <f t="shared" si="9"/>
        <v>9141973</v>
      </c>
      <c r="K24" s="82">
        <v>0</v>
      </c>
      <c r="L24" s="82">
        <f>+M24</f>
        <v>0</v>
      </c>
      <c r="M24" s="82">
        <f t="shared" si="13"/>
        <v>0</v>
      </c>
      <c r="N24" s="82">
        <f t="shared" si="14"/>
        <v>0</v>
      </c>
      <c r="O24" s="92"/>
    </row>
    <row r="25" spans="1:15" s="93" customFormat="1" ht="22.5" x14ac:dyDescent="0.2">
      <c r="A25" s="79" t="s">
        <v>181</v>
      </c>
      <c r="B25" s="79" t="s">
        <v>182</v>
      </c>
      <c r="C25" s="79">
        <v>4</v>
      </c>
      <c r="D25" s="79" t="s">
        <v>183</v>
      </c>
      <c r="E25" s="79" t="s">
        <v>202</v>
      </c>
      <c r="F25" s="79">
        <v>4411</v>
      </c>
      <c r="G25" s="96" t="s">
        <v>203</v>
      </c>
      <c r="H25" s="84">
        <v>120000</v>
      </c>
      <c r="I25" s="82">
        <v>0</v>
      </c>
      <c r="J25" s="82">
        <f t="shared" si="9"/>
        <v>120000</v>
      </c>
      <c r="K25" s="82">
        <v>0</v>
      </c>
      <c r="L25" s="82">
        <v>0</v>
      </c>
      <c r="M25" s="82">
        <v>0</v>
      </c>
      <c r="N25" s="82">
        <v>0</v>
      </c>
      <c r="O25" s="92"/>
    </row>
    <row r="26" spans="1:15" s="93" customFormat="1" x14ac:dyDescent="0.2">
      <c r="A26" s="79"/>
      <c r="B26" s="79"/>
      <c r="C26" s="79"/>
      <c r="D26" s="79"/>
      <c r="E26" s="79"/>
      <c r="F26" s="79">
        <v>4451</v>
      </c>
      <c r="G26" s="83" t="s">
        <v>204</v>
      </c>
      <c r="H26" s="84">
        <v>100000</v>
      </c>
      <c r="I26" s="82">
        <v>0</v>
      </c>
      <c r="J26" s="82">
        <f t="shared" si="9"/>
        <v>100000</v>
      </c>
      <c r="K26" s="82">
        <v>0</v>
      </c>
      <c r="L26" s="82">
        <v>0</v>
      </c>
      <c r="M26" s="82">
        <v>0</v>
      </c>
      <c r="N26" s="82">
        <v>0</v>
      </c>
      <c r="O26" s="92"/>
    </row>
    <row r="27" spans="1:15" s="93" customFormat="1" x14ac:dyDescent="0.2">
      <c r="A27" s="79" t="s">
        <v>181</v>
      </c>
      <c r="B27" s="79" t="s">
        <v>182</v>
      </c>
      <c r="C27" s="79">
        <v>6</v>
      </c>
      <c r="D27" s="79" t="s">
        <v>183</v>
      </c>
      <c r="E27" s="79" t="s">
        <v>184</v>
      </c>
      <c r="F27" s="79">
        <v>3821</v>
      </c>
      <c r="G27" s="83" t="s">
        <v>201</v>
      </c>
      <c r="H27" s="84">
        <v>1300000</v>
      </c>
      <c r="I27" s="82">
        <v>0</v>
      </c>
      <c r="J27" s="82">
        <f>+H27+I27</f>
        <v>1300000</v>
      </c>
      <c r="K27" s="82">
        <v>0</v>
      </c>
      <c r="L27" s="82">
        <v>0</v>
      </c>
      <c r="M27" s="82">
        <v>0</v>
      </c>
      <c r="N27" s="82">
        <v>0</v>
      </c>
      <c r="O27" s="92"/>
    </row>
    <row r="28" spans="1:15" s="93" customFormat="1" x14ac:dyDescent="0.2">
      <c r="A28" s="79"/>
      <c r="B28" s="79"/>
      <c r="C28" s="79"/>
      <c r="D28" s="79"/>
      <c r="E28" s="79"/>
      <c r="F28" s="79"/>
      <c r="G28" s="83"/>
      <c r="H28" s="84"/>
      <c r="I28" s="82"/>
      <c r="J28" s="82"/>
      <c r="K28" s="82"/>
      <c r="L28" s="82"/>
      <c r="M28" s="82"/>
      <c r="N28" s="82"/>
      <c r="O28" s="92"/>
    </row>
    <row r="29" spans="1:15" s="93" customFormat="1" x14ac:dyDescent="0.2">
      <c r="A29" s="79"/>
      <c r="B29" s="79"/>
      <c r="C29" s="79"/>
      <c r="D29" s="79"/>
      <c r="E29" s="79"/>
      <c r="F29" s="79"/>
      <c r="G29" s="83"/>
      <c r="H29" s="84"/>
      <c r="I29" s="82"/>
      <c r="J29" s="82"/>
      <c r="K29" s="82"/>
      <c r="L29" s="82"/>
      <c r="M29" s="82"/>
      <c r="N29" s="82"/>
      <c r="O29" s="92"/>
    </row>
    <row r="30" spans="1:15" s="93" customFormat="1" x14ac:dyDescent="0.2">
      <c r="A30" s="79"/>
      <c r="B30" s="79"/>
      <c r="C30" s="79"/>
      <c r="D30" s="79"/>
      <c r="E30" s="79"/>
      <c r="F30" s="79"/>
      <c r="G30" s="79"/>
      <c r="H30" s="82"/>
      <c r="I30" s="82"/>
      <c r="J30" s="82"/>
      <c r="K30" s="82"/>
      <c r="L30" s="82"/>
      <c r="M30" s="82"/>
      <c r="N30" s="82"/>
      <c r="O30" s="92"/>
    </row>
    <row r="31" spans="1:15" s="93" customFormat="1" x14ac:dyDescent="0.2">
      <c r="A31" s="80"/>
      <c r="B31" s="80"/>
      <c r="C31" s="80"/>
      <c r="D31" s="80"/>
      <c r="E31" s="80"/>
      <c r="F31" s="80"/>
      <c r="G31" s="80" t="s">
        <v>205</v>
      </c>
      <c r="H31" s="81">
        <f t="shared" ref="H31:L31" si="15">SUM(H32:H77)</f>
        <v>52445081</v>
      </c>
      <c r="I31" s="81">
        <f t="shared" si="15"/>
        <v>6616990.1699999999</v>
      </c>
      <c r="J31" s="81">
        <f t="shared" si="15"/>
        <v>59062071.170000002</v>
      </c>
      <c r="K31" s="81">
        <f t="shared" si="15"/>
        <v>0</v>
      </c>
      <c r="L31" s="81">
        <f t="shared" si="15"/>
        <v>2184773.4999999995</v>
      </c>
      <c r="M31" s="81">
        <f t="shared" ref="M31:N31" si="16">SUM(M32:M77)</f>
        <v>2184773.4999999995</v>
      </c>
      <c r="N31" s="81">
        <f t="shared" si="16"/>
        <v>2184773.4999999995</v>
      </c>
      <c r="O31" s="92"/>
    </row>
    <row r="32" spans="1:15" s="93" customFormat="1" x14ac:dyDescent="0.2">
      <c r="A32" s="79" t="s">
        <v>181</v>
      </c>
      <c r="B32" s="79" t="s">
        <v>206</v>
      </c>
      <c r="C32" s="79">
        <v>1</v>
      </c>
      <c r="D32" s="79" t="s">
        <v>183</v>
      </c>
      <c r="E32" s="79" t="s">
        <v>186</v>
      </c>
      <c r="F32" s="79">
        <v>1131</v>
      </c>
      <c r="G32" s="83" t="s">
        <v>207</v>
      </c>
      <c r="H32" s="84">
        <v>1146708</v>
      </c>
      <c r="I32" s="82">
        <v>-28726.17</v>
      </c>
      <c r="J32" s="82">
        <f t="shared" ref="J32:J77" si="17">+H32+I32</f>
        <v>1117981.83</v>
      </c>
      <c r="K32" s="82">
        <v>0</v>
      </c>
      <c r="L32" s="82">
        <v>869613.8</v>
      </c>
      <c r="M32" s="82">
        <v>869613.8</v>
      </c>
      <c r="N32" s="82">
        <v>869613.8</v>
      </c>
      <c r="O32" s="92"/>
    </row>
    <row r="33" spans="1:15" s="93" customFormat="1" x14ac:dyDescent="0.2">
      <c r="A33" s="79"/>
      <c r="B33" s="79"/>
      <c r="C33" s="79"/>
      <c r="D33" s="79"/>
      <c r="E33" s="79"/>
      <c r="F33" s="79">
        <v>1212</v>
      </c>
      <c r="G33" s="83" t="s">
        <v>187</v>
      </c>
      <c r="H33" s="84">
        <v>437068.28</v>
      </c>
      <c r="I33" s="82">
        <v>0</v>
      </c>
      <c r="J33" s="82">
        <f t="shared" si="17"/>
        <v>437068.28</v>
      </c>
      <c r="K33" s="82">
        <v>0</v>
      </c>
      <c r="L33" s="82">
        <v>365100.6</v>
      </c>
      <c r="M33" s="82">
        <v>365100.6</v>
      </c>
      <c r="N33" s="82">
        <v>365100.6</v>
      </c>
      <c r="O33" s="92"/>
    </row>
    <row r="34" spans="1:15" s="93" customFormat="1" x14ac:dyDescent="0.2">
      <c r="A34" s="79"/>
      <c r="B34" s="79"/>
      <c r="C34" s="79"/>
      <c r="D34" s="79"/>
      <c r="E34" s="79"/>
      <c r="F34" s="79">
        <v>1321</v>
      </c>
      <c r="G34" s="83" t="s">
        <v>208</v>
      </c>
      <c r="H34" s="84">
        <v>29623.29</v>
      </c>
      <c r="I34" s="82">
        <v>-739.66</v>
      </c>
      <c r="J34" s="82">
        <f t="shared" si="17"/>
        <v>28883.63</v>
      </c>
      <c r="K34" s="82">
        <v>0</v>
      </c>
      <c r="L34" s="82">
        <v>14438.5</v>
      </c>
      <c r="M34" s="82">
        <v>14438.5</v>
      </c>
      <c r="N34" s="82">
        <v>14438.5</v>
      </c>
      <c r="O34" s="92"/>
    </row>
    <row r="35" spans="1:15" s="93" customFormat="1" x14ac:dyDescent="0.2">
      <c r="A35" s="79"/>
      <c r="B35" s="79"/>
      <c r="C35" s="79"/>
      <c r="D35" s="79"/>
      <c r="E35" s="79"/>
      <c r="F35" s="79">
        <v>1323</v>
      </c>
      <c r="G35" s="83" t="s">
        <v>209</v>
      </c>
      <c r="H35" s="84">
        <v>159265</v>
      </c>
      <c r="I35" s="82">
        <v>-3976.5</v>
      </c>
      <c r="J35" s="82">
        <f t="shared" si="17"/>
        <v>155288.5</v>
      </c>
      <c r="K35" s="82">
        <v>0</v>
      </c>
      <c r="L35" s="82">
        <f t="shared" ref="L35" si="18">+M35</f>
        <v>0</v>
      </c>
      <c r="M35" s="82">
        <f t="shared" ref="M35" si="19">+N35</f>
        <v>0</v>
      </c>
      <c r="N35" s="82">
        <f t="shared" ref="N35" si="20">+O35</f>
        <v>0</v>
      </c>
      <c r="O35" s="92"/>
    </row>
    <row r="36" spans="1:15" s="93" customFormat="1" x14ac:dyDescent="0.2">
      <c r="A36" s="79"/>
      <c r="B36" s="79"/>
      <c r="C36" s="79"/>
      <c r="D36" s="79"/>
      <c r="E36" s="79"/>
      <c r="F36" s="79">
        <v>1413</v>
      </c>
      <c r="G36" s="83" t="s">
        <v>189</v>
      </c>
      <c r="H36" s="84">
        <v>106328.79</v>
      </c>
      <c r="I36" s="82">
        <v>-2320.88</v>
      </c>
      <c r="J36" s="82">
        <f t="shared" si="17"/>
        <v>104007.90999999999</v>
      </c>
      <c r="K36" s="82">
        <v>0</v>
      </c>
      <c r="L36" s="82">
        <v>79185.08</v>
      </c>
      <c r="M36" s="82">
        <v>79185.08</v>
      </c>
      <c r="N36" s="82">
        <v>79185.08</v>
      </c>
      <c r="O36" s="92"/>
    </row>
    <row r="37" spans="1:15" s="93" customFormat="1" x14ac:dyDescent="0.2">
      <c r="A37" s="79"/>
      <c r="B37" s="79"/>
      <c r="C37" s="79"/>
      <c r="D37" s="79"/>
      <c r="E37" s="79"/>
      <c r="F37" s="79">
        <v>1421</v>
      </c>
      <c r="G37" s="83" t="s">
        <v>190</v>
      </c>
      <c r="H37" s="84">
        <v>68872.37</v>
      </c>
      <c r="I37" s="82">
        <v>-1719.91</v>
      </c>
      <c r="J37" s="82">
        <f t="shared" si="17"/>
        <v>67152.459999999992</v>
      </c>
      <c r="K37" s="82">
        <v>0</v>
      </c>
      <c r="L37" s="82">
        <v>44489.599999999999</v>
      </c>
      <c r="M37" s="82">
        <v>44489.599999999999</v>
      </c>
      <c r="N37" s="82">
        <v>44489.599999999999</v>
      </c>
      <c r="O37" s="92"/>
    </row>
    <row r="38" spans="1:15" s="93" customFormat="1" x14ac:dyDescent="0.2">
      <c r="A38" s="79"/>
      <c r="B38" s="79"/>
      <c r="C38" s="79"/>
      <c r="D38" s="79"/>
      <c r="E38" s="79"/>
      <c r="F38" s="79">
        <v>1431</v>
      </c>
      <c r="G38" s="83" t="s">
        <v>191</v>
      </c>
      <c r="H38" s="84">
        <v>70938.28</v>
      </c>
      <c r="I38" s="82">
        <v>-1771.24</v>
      </c>
      <c r="J38" s="82">
        <f t="shared" si="17"/>
        <v>69167.039999999994</v>
      </c>
      <c r="K38" s="82">
        <v>0</v>
      </c>
      <c r="L38" s="82">
        <v>45824.27</v>
      </c>
      <c r="M38" s="82">
        <v>45824.27</v>
      </c>
      <c r="N38" s="82">
        <v>45824.27</v>
      </c>
      <c r="O38" s="92"/>
    </row>
    <row r="39" spans="1:15" s="93" customFormat="1" x14ac:dyDescent="0.2">
      <c r="A39" s="79"/>
      <c r="B39" s="79"/>
      <c r="C39" s="79"/>
      <c r="D39" s="79"/>
      <c r="E39" s="79"/>
      <c r="F39" s="79">
        <v>1511</v>
      </c>
      <c r="G39" s="87" t="s">
        <v>210</v>
      </c>
      <c r="H39" s="84">
        <v>22934.16</v>
      </c>
      <c r="I39" s="82">
        <v>-572.64</v>
      </c>
      <c r="J39" s="82">
        <f t="shared" si="17"/>
        <v>22361.52</v>
      </c>
      <c r="K39" s="82">
        <v>0</v>
      </c>
      <c r="L39" s="82">
        <v>17612.25</v>
      </c>
      <c r="M39" s="82">
        <v>17612.25</v>
      </c>
      <c r="N39" s="82">
        <v>17612.25</v>
      </c>
      <c r="O39" s="92"/>
    </row>
    <row r="40" spans="1:15" s="93" customFormat="1" x14ac:dyDescent="0.2">
      <c r="A40" s="79"/>
      <c r="B40" s="79"/>
      <c r="C40" s="79"/>
      <c r="D40" s="79"/>
      <c r="E40" s="79"/>
      <c r="F40" s="79">
        <v>1522</v>
      </c>
      <c r="G40" s="87" t="s">
        <v>211</v>
      </c>
      <c r="H40" s="84">
        <v>150000</v>
      </c>
      <c r="I40" s="82">
        <v>-50000</v>
      </c>
      <c r="J40" s="82">
        <f t="shared" si="17"/>
        <v>100000</v>
      </c>
      <c r="K40" s="82">
        <v>0</v>
      </c>
      <c r="L40" s="82">
        <v>0</v>
      </c>
      <c r="M40" s="82">
        <v>0</v>
      </c>
      <c r="N40" s="82">
        <v>0</v>
      </c>
      <c r="O40" s="92"/>
    </row>
    <row r="41" spans="1:15" s="93" customFormat="1" x14ac:dyDescent="0.2">
      <c r="A41" s="79" t="s">
        <v>181</v>
      </c>
      <c r="B41" s="79" t="s">
        <v>206</v>
      </c>
      <c r="C41" s="79">
        <v>1</v>
      </c>
      <c r="D41" s="79" t="s">
        <v>183</v>
      </c>
      <c r="E41" s="79" t="s">
        <v>184</v>
      </c>
      <c r="F41" s="79">
        <v>2111</v>
      </c>
      <c r="G41" s="83" t="s">
        <v>212</v>
      </c>
      <c r="H41" s="84">
        <v>25000</v>
      </c>
      <c r="I41" s="82">
        <v>-10000</v>
      </c>
      <c r="J41" s="82">
        <f t="shared" si="17"/>
        <v>15000</v>
      </c>
      <c r="K41" s="82">
        <v>0</v>
      </c>
      <c r="L41" s="82">
        <v>7526.06</v>
      </c>
      <c r="M41" s="82">
        <v>7526.06</v>
      </c>
      <c r="N41" s="82">
        <v>7526.06</v>
      </c>
      <c r="O41" s="92"/>
    </row>
    <row r="42" spans="1:15" s="93" customFormat="1" x14ac:dyDescent="0.2">
      <c r="A42" s="79"/>
      <c r="B42" s="79"/>
      <c r="C42" s="79"/>
      <c r="D42" s="79"/>
      <c r="E42" s="79"/>
      <c r="F42" s="79">
        <v>2112</v>
      </c>
      <c r="G42" s="83" t="s">
        <v>213</v>
      </c>
      <c r="H42" s="84">
        <v>12228</v>
      </c>
      <c r="I42" s="82">
        <v>-6228</v>
      </c>
      <c r="J42" s="82">
        <f t="shared" si="17"/>
        <v>6000</v>
      </c>
      <c r="K42" s="82">
        <v>0</v>
      </c>
      <c r="L42" s="82">
        <v>4028.3</v>
      </c>
      <c r="M42" s="82">
        <v>4028.3</v>
      </c>
      <c r="N42" s="82">
        <v>4028.3</v>
      </c>
      <c r="O42" s="92"/>
    </row>
    <row r="43" spans="1:15" s="93" customFormat="1" x14ac:dyDescent="0.2">
      <c r="A43" s="79"/>
      <c r="B43" s="79"/>
      <c r="C43" s="79"/>
      <c r="D43" s="79"/>
      <c r="E43" s="79"/>
      <c r="F43" s="79">
        <v>2121</v>
      </c>
      <c r="G43" s="83" t="s">
        <v>214</v>
      </c>
      <c r="H43" s="84">
        <v>10000</v>
      </c>
      <c r="I43" s="82">
        <v>-6500</v>
      </c>
      <c r="J43" s="82">
        <f t="shared" si="17"/>
        <v>3500</v>
      </c>
      <c r="K43" s="82">
        <v>0</v>
      </c>
      <c r="L43" s="82">
        <v>2993.41</v>
      </c>
      <c r="M43" s="82">
        <v>2993.41</v>
      </c>
      <c r="N43" s="82">
        <v>2993.41</v>
      </c>
      <c r="O43" s="92"/>
    </row>
    <row r="44" spans="1:15" s="93" customFormat="1" ht="22.5" x14ac:dyDescent="0.2">
      <c r="A44" s="79"/>
      <c r="B44" s="79"/>
      <c r="C44" s="79"/>
      <c r="D44" s="79"/>
      <c r="E44" s="79"/>
      <c r="F44" s="79">
        <v>2212</v>
      </c>
      <c r="G44" s="95" t="s">
        <v>192</v>
      </c>
      <c r="H44" s="84">
        <v>45000</v>
      </c>
      <c r="I44" s="82">
        <v>-15000</v>
      </c>
      <c r="J44" s="82">
        <f t="shared" si="17"/>
        <v>30000</v>
      </c>
      <c r="K44" s="82">
        <v>0</v>
      </c>
      <c r="L44" s="82">
        <v>29542.880000000001</v>
      </c>
      <c r="M44" s="82">
        <v>29542.880000000001</v>
      </c>
      <c r="N44" s="82">
        <v>29542.880000000001</v>
      </c>
      <c r="O44" s="92"/>
    </row>
    <row r="45" spans="1:15" s="93" customFormat="1" ht="33.75" x14ac:dyDescent="0.2">
      <c r="A45" s="79"/>
      <c r="B45" s="79"/>
      <c r="C45" s="79"/>
      <c r="D45" s="79"/>
      <c r="E45" s="79"/>
      <c r="F45" s="79">
        <v>2612</v>
      </c>
      <c r="G45" s="95" t="s">
        <v>215</v>
      </c>
      <c r="H45" s="84">
        <v>44000</v>
      </c>
      <c r="I45" s="82">
        <v>-14000</v>
      </c>
      <c r="J45" s="82">
        <f t="shared" si="17"/>
        <v>30000</v>
      </c>
      <c r="K45" s="82">
        <v>0</v>
      </c>
      <c r="L45" s="82">
        <v>18362</v>
      </c>
      <c r="M45" s="82">
        <v>18362</v>
      </c>
      <c r="N45" s="82">
        <v>18362</v>
      </c>
      <c r="O45" s="92"/>
    </row>
    <row r="46" spans="1:15" s="93" customFormat="1" x14ac:dyDescent="0.2">
      <c r="A46" s="79"/>
      <c r="B46" s="79"/>
      <c r="C46" s="79"/>
      <c r="D46" s="79"/>
      <c r="E46" s="79"/>
      <c r="F46" s="79">
        <v>2711</v>
      </c>
      <c r="G46" s="85" t="s">
        <v>216</v>
      </c>
      <c r="H46" s="84">
        <v>10000</v>
      </c>
      <c r="I46" s="82">
        <v>0</v>
      </c>
      <c r="J46" s="82">
        <f t="shared" si="17"/>
        <v>10000</v>
      </c>
      <c r="K46" s="82">
        <v>0</v>
      </c>
      <c r="L46" s="82">
        <v>0</v>
      </c>
      <c r="M46" s="82">
        <v>0</v>
      </c>
      <c r="N46" s="82">
        <v>0</v>
      </c>
      <c r="O46" s="92"/>
    </row>
    <row r="47" spans="1:15" s="93" customFormat="1" ht="22.5" x14ac:dyDescent="0.2">
      <c r="A47" s="79"/>
      <c r="B47" s="79"/>
      <c r="C47" s="79"/>
      <c r="D47" s="79"/>
      <c r="E47" s="79"/>
      <c r="F47" s="79">
        <v>2941</v>
      </c>
      <c r="G47" s="95" t="s">
        <v>217</v>
      </c>
      <c r="H47" s="84">
        <v>5000</v>
      </c>
      <c r="I47" s="82">
        <v>-2000</v>
      </c>
      <c r="J47" s="82">
        <f t="shared" si="17"/>
        <v>3000</v>
      </c>
      <c r="K47" s="82">
        <v>0</v>
      </c>
      <c r="L47" s="82">
        <v>0</v>
      </c>
      <c r="M47" s="82">
        <v>0</v>
      </c>
      <c r="N47" s="82">
        <v>0</v>
      </c>
      <c r="O47" s="92"/>
    </row>
    <row r="48" spans="1:15" s="93" customFormat="1" x14ac:dyDescent="0.2">
      <c r="A48" s="79"/>
      <c r="B48" s="79"/>
      <c r="C48" s="79"/>
      <c r="D48" s="79"/>
      <c r="E48" s="79"/>
      <c r="F48" s="79">
        <v>3141</v>
      </c>
      <c r="G48" s="83" t="s">
        <v>218</v>
      </c>
      <c r="H48" s="84">
        <v>40000</v>
      </c>
      <c r="I48" s="82">
        <v>-14000</v>
      </c>
      <c r="J48" s="82">
        <f t="shared" si="17"/>
        <v>26000</v>
      </c>
      <c r="K48" s="82">
        <v>0</v>
      </c>
      <c r="L48" s="82">
        <v>17176</v>
      </c>
      <c r="M48" s="82">
        <v>17176</v>
      </c>
      <c r="N48" s="82">
        <v>17176</v>
      </c>
      <c r="O48" s="92"/>
    </row>
    <row r="49" spans="1:15" s="93" customFormat="1" x14ac:dyDescent="0.2">
      <c r="A49" s="79"/>
      <c r="B49" s="79"/>
      <c r="C49" s="79"/>
      <c r="D49" s="79"/>
      <c r="E49" s="79"/>
      <c r="F49" s="79">
        <v>3151</v>
      </c>
      <c r="G49" s="83" t="s">
        <v>219</v>
      </c>
      <c r="H49" s="84">
        <v>50000</v>
      </c>
      <c r="I49" s="82">
        <v>-50000</v>
      </c>
      <c r="J49" s="82">
        <f t="shared" si="17"/>
        <v>0</v>
      </c>
      <c r="K49" s="82">
        <v>0</v>
      </c>
      <c r="L49" s="82">
        <v>0</v>
      </c>
      <c r="M49" s="82">
        <v>0</v>
      </c>
      <c r="N49" s="82">
        <v>0</v>
      </c>
      <c r="O49" s="92"/>
    </row>
    <row r="50" spans="1:15" s="93" customFormat="1" x14ac:dyDescent="0.2">
      <c r="A50" s="79"/>
      <c r="B50" s="79"/>
      <c r="C50" s="79"/>
      <c r="D50" s="79"/>
      <c r="E50" s="79"/>
      <c r="F50" s="79">
        <v>3181</v>
      </c>
      <c r="G50" s="83" t="s">
        <v>220</v>
      </c>
      <c r="H50" s="84">
        <v>6000</v>
      </c>
      <c r="I50" s="82">
        <v>-4000</v>
      </c>
      <c r="J50" s="82">
        <f t="shared" si="17"/>
        <v>2000</v>
      </c>
      <c r="K50" s="82">
        <v>0</v>
      </c>
      <c r="L50" s="82">
        <v>0</v>
      </c>
      <c r="M50" s="82">
        <v>0</v>
      </c>
      <c r="N50" s="82">
        <v>0</v>
      </c>
      <c r="O50" s="92"/>
    </row>
    <row r="51" spans="1:15" s="93" customFormat="1" x14ac:dyDescent="0.2">
      <c r="A51" s="79"/>
      <c r="B51" s="79"/>
      <c r="C51" s="79"/>
      <c r="D51" s="79"/>
      <c r="E51" s="79"/>
      <c r="F51" s="79">
        <v>3231</v>
      </c>
      <c r="G51" s="97" t="s">
        <v>288</v>
      </c>
      <c r="H51" s="84">
        <v>0</v>
      </c>
      <c r="I51" s="82">
        <v>7200</v>
      </c>
      <c r="J51" s="82">
        <f t="shared" ref="J51" si="21">+H51+I51</f>
        <v>7200</v>
      </c>
      <c r="K51" s="82">
        <v>0</v>
      </c>
      <c r="L51" s="82">
        <v>1450</v>
      </c>
      <c r="M51" s="82">
        <v>1450</v>
      </c>
      <c r="N51" s="82">
        <v>1450</v>
      </c>
      <c r="O51" s="92"/>
    </row>
    <row r="52" spans="1:15" s="93" customFormat="1" x14ac:dyDescent="0.2">
      <c r="A52" s="79"/>
      <c r="B52" s="79"/>
      <c r="C52" s="79"/>
      <c r="D52" s="79"/>
      <c r="E52" s="79"/>
      <c r="F52" s="79">
        <v>3311</v>
      </c>
      <c r="G52" s="83" t="s">
        <v>221</v>
      </c>
      <c r="H52" s="84">
        <v>150000</v>
      </c>
      <c r="I52" s="82">
        <v>-77200</v>
      </c>
      <c r="J52" s="82">
        <f t="shared" si="17"/>
        <v>72800</v>
      </c>
      <c r="K52" s="82">
        <v>0</v>
      </c>
      <c r="L52" s="82">
        <v>0</v>
      </c>
      <c r="M52" s="82">
        <v>0</v>
      </c>
      <c r="N52" s="82">
        <v>0</v>
      </c>
      <c r="O52" s="92"/>
    </row>
    <row r="53" spans="1:15" s="93" customFormat="1" x14ac:dyDescent="0.2">
      <c r="A53" s="79"/>
      <c r="B53" s="79"/>
      <c r="C53" s="79"/>
      <c r="D53" s="79"/>
      <c r="E53" s="79"/>
      <c r="F53" s="79">
        <v>3341</v>
      </c>
      <c r="G53" s="83" t="s">
        <v>222</v>
      </c>
      <c r="H53" s="84">
        <v>40000</v>
      </c>
      <c r="I53" s="82">
        <v>-20000</v>
      </c>
      <c r="J53" s="82">
        <f t="shared" si="17"/>
        <v>20000</v>
      </c>
      <c r="K53" s="82">
        <v>0</v>
      </c>
      <c r="L53" s="82">
        <v>0</v>
      </c>
      <c r="M53" s="82">
        <v>0</v>
      </c>
      <c r="N53" s="82">
        <v>0</v>
      </c>
      <c r="O53" s="92"/>
    </row>
    <row r="54" spans="1:15" s="93" customFormat="1" x14ac:dyDescent="0.2">
      <c r="A54" s="79"/>
      <c r="B54" s="79"/>
      <c r="C54" s="79"/>
      <c r="D54" s="79"/>
      <c r="E54" s="79"/>
      <c r="F54" s="79">
        <v>3391</v>
      </c>
      <c r="G54" s="83" t="s">
        <v>196</v>
      </c>
      <c r="H54" s="84">
        <v>350000</v>
      </c>
      <c r="I54" s="82">
        <v>-250000</v>
      </c>
      <c r="J54" s="82">
        <f t="shared" si="17"/>
        <v>100000</v>
      </c>
      <c r="K54" s="82">
        <v>0</v>
      </c>
      <c r="L54" s="82">
        <v>32095</v>
      </c>
      <c r="M54" s="82">
        <v>32095</v>
      </c>
      <c r="N54" s="82">
        <v>32095</v>
      </c>
      <c r="O54" s="92"/>
    </row>
    <row r="55" spans="1:15" s="93" customFormat="1" x14ac:dyDescent="0.2">
      <c r="A55" s="79"/>
      <c r="B55" s="79"/>
      <c r="C55" s="79"/>
      <c r="D55" s="79"/>
      <c r="E55" s="79"/>
      <c r="F55" s="79">
        <v>3411</v>
      </c>
      <c r="G55" s="83" t="s">
        <v>223</v>
      </c>
      <c r="H55" s="84">
        <v>32000</v>
      </c>
      <c r="I55" s="82">
        <v>-7020</v>
      </c>
      <c r="J55" s="82">
        <f t="shared" si="17"/>
        <v>24980</v>
      </c>
      <c r="K55" s="82">
        <v>0</v>
      </c>
      <c r="L55" s="82">
        <v>14201.21</v>
      </c>
      <c r="M55" s="82">
        <v>14201.21</v>
      </c>
      <c r="N55" s="82">
        <v>14201.21</v>
      </c>
      <c r="O55" s="92"/>
    </row>
    <row r="56" spans="1:15" s="93" customFormat="1" x14ac:dyDescent="0.2">
      <c r="A56" s="79"/>
      <c r="B56" s="79"/>
      <c r="C56" s="79"/>
      <c r="D56" s="79"/>
      <c r="E56" s="79"/>
      <c r="F56" s="79">
        <v>3411</v>
      </c>
      <c r="G56" s="83" t="s">
        <v>223</v>
      </c>
      <c r="H56" s="84">
        <v>0</v>
      </c>
      <c r="I56" s="82">
        <v>550000</v>
      </c>
      <c r="J56" s="82">
        <f t="shared" ref="J56" si="22">+H56+I56</f>
        <v>550000</v>
      </c>
      <c r="K56" s="82">
        <v>0</v>
      </c>
      <c r="L56" s="82">
        <v>526751.76</v>
      </c>
      <c r="M56" s="82">
        <v>526751.76</v>
      </c>
      <c r="N56" s="82">
        <v>526751.76</v>
      </c>
      <c r="O56" s="92"/>
    </row>
    <row r="57" spans="1:15" s="93" customFormat="1" x14ac:dyDescent="0.2">
      <c r="A57" s="79"/>
      <c r="B57" s="79"/>
      <c r="C57" s="79"/>
      <c r="D57" s="79"/>
      <c r="E57" s="79"/>
      <c r="F57" s="79">
        <v>3451</v>
      </c>
      <c r="G57" s="83" t="s">
        <v>224</v>
      </c>
      <c r="H57" s="84">
        <v>12000</v>
      </c>
      <c r="I57" s="82">
        <v>0</v>
      </c>
      <c r="J57" s="82">
        <f t="shared" si="17"/>
        <v>12000</v>
      </c>
      <c r="K57" s="82">
        <v>0</v>
      </c>
      <c r="L57" s="82">
        <v>6554.55</v>
      </c>
      <c r="M57" s="82">
        <v>6554.55</v>
      </c>
      <c r="N57" s="82">
        <v>6554.55</v>
      </c>
      <c r="O57" s="92"/>
    </row>
    <row r="58" spans="1:15" s="93" customFormat="1" ht="22.5" x14ac:dyDescent="0.2">
      <c r="A58" s="79"/>
      <c r="B58" s="79"/>
      <c r="C58" s="79"/>
      <c r="D58" s="79"/>
      <c r="E58" s="79"/>
      <c r="F58" s="79">
        <v>3521</v>
      </c>
      <c r="G58" s="95" t="s">
        <v>225</v>
      </c>
      <c r="H58" s="84">
        <v>5000</v>
      </c>
      <c r="I58" s="82">
        <v>-2934</v>
      </c>
      <c r="J58" s="82">
        <f t="shared" si="17"/>
        <v>2066</v>
      </c>
      <c r="K58" s="82">
        <v>0</v>
      </c>
      <c r="L58" s="82">
        <v>2066</v>
      </c>
      <c r="M58" s="82">
        <v>2066</v>
      </c>
      <c r="N58" s="82">
        <v>2066</v>
      </c>
      <c r="O58" s="92"/>
    </row>
    <row r="59" spans="1:15" s="93" customFormat="1" ht="22.5" x14ac:dyDescent="0.2">
      <c r="A59" s="79"/>
      <c r="B59" s="79"/>
      <c r="C59" s="79"/>
      <c r="D59" s="79"/>
      <c r="E59" s="79"/>
      <c r="F59" s="79">
        <v>3551</v>
      </c>
      <c r="G59" s="95" t="s">
        <v>226</v>
      </c>
      <c r="H59" s="84">
        <v>20000</v>
      </c>
      <c r="I59" s="82">
        <v>-5000</v>
      </c>
      <c r="J59" s="82">
        <f t="shared" si="17"/>
        <v>15000</v>
      </c>
      <c r="K59" s="82">
        <v>0</v>
      </c>
      <c r="L59" s="82">
        <v>1293</v>
      </c>
      <c r="M59" s="82">
        <v>1293</v>
      </c>
      <c r="N59" s="82">
        <v>1293</v>
      </c>
      <c r="O59" s="92"/>
    </row>
    <row r="60" spans="1:15" s="93" customFormat="1" x14ac:dyDescent="0.2">
      <c r="A60" s="79"/>
      <c r="B60" s="79"/>
      <c r="C60" s="79"/>
      <c r="D60" s="79"/>
      <c r="E60" s="79"/>
      <c r="F60" s="79">
        <v>3611</v>
      </c>
      <c r="G60" s="85" t="s">
        <v>227</v>
      </c>
      <c r="H60" s="84">
        <v>20000</v>
      </c>
      <c r="I60" s="82">
        <v>-7080</v>
      </c>
      <c r="J60" s="82">
        <f t="shared" si="17"/>
        <v>12920</v>
      </c>
      <c r="K60" s="82">
        <v>0</v>
      </c>
      <c r="L60" s="82">
        <v>2784</v>
      </c>
      <c r="M60" s="82">
        <v>2784</v>
      </c>
      <c r="N60" s="82">
        <v>2784</v>
      </c>
      <c r="O60" s="92"/>
    </row>
    <row r="61" spans="1:15" s="93" customFormat="1" x14ac:dyDescent="0.2">
      <c r="A61" s="79"/>
      <c r="B61" s="79"/>
      <c r="C61" s="79"/>
      <c r="D61" s="79"/>
      <c r="E61" s="79"/>
      <c r="F61" s="79">
        <v>3621</v>
      </c>
      <c r="G61" s="83" t="s">
        <v>200</v>
      </c>
      <c r="H61" s="84">
        <v>40000</v>
      </c>
      <c r="I61" s="82">
        <v>-12066</v>
      </c>
      <c r="J61" s="82">
        <f t="shared" si="17"/>
        <v>27934</v>
      </c>
      <c r="K61" s="82">
        <v>0</v>
      </c>
      <c r="L61" s="82">
        <v>6586.48</v>
      </c>
      <c r="M61" s="82">
        <v>6586.48</v>
      </c>
      <c r="N61" s="82">
        <v>6586.48</v>
      </c>
      <c r="O61" s="92"/>
    </row>
    <row r="62" spans="1:15" s="93" customFormat="1" x14ac:dyDescent="0.2">
      <c r="A62" s="79"/>
      <c r="B62" s="79"/>
      <c r="C62" s="79"/>
      <c r="D62" s="79"/>
      <c r="E62" s="79"/>
      <c r="F62" s="79">
        <v>3631</v>
      </c>
      <c r="G62" s="85" t="s">
        <v>228</v>
      </c>
      <c r="H62" s="84">
        <v>40000</v>
      </c>
      <c r="I62" s="82">
        <v>-15000</v>
      </c>
      <c r="J62" s="82">
        <f t="shared" si="17"/>
        <v>25000</v>
      </c>
      <c r="K62" s="82">
        <v>0</v>
      </c>
      <c r="L62" s="82">
        <v>0</v>
      </c>
      <c r="M62" s="82">
        <v>0</v>
      </c>
      <c r="N62" s="82">
        <v>0</v>
      </c>
      <c r="O62" s="92"/>
    </row>
    <row r="63" spans="1:15" s="93" customFormat="1" ht="22.5" x14ac:dyDescent="0.2">
      <c r="A63" s="79"/>
      <c r="B63" s="79"/>
      <c r="C63" s="79"/>
      <c r="D63" s="79"/>
      <c r="E63" s="79"/>
      <c r="F63" s="79">
        <v>3661</v>
      </c>
      <c r="G63" s="87" t="s">
        <v>229</v>
      </c>
      <c r="H63" s="84">
        <v>30000</v>
      </c>
      <c r="I63" s="82">
        <v>-5000</v>
      </c>
      <c r="J63" s="82">
        <f t="shared" si="17"/>
        <v>25000</v>
      </c>
      <c r="K63" s="82">
        <v>0</v>
      </c>
      <c r="L63" s="82">
        <v>6480</v>
      </c>
      <c r="M63" s="82">
        <v>6480</v>
      </c>
      <c r="N63" s="82">
        <v>6480</v>
      </c>
      <c r="O63" s="92"/>
    </row>
    <row r="64" spans="1:15" s="93" customFormat="1" x14ac:dyDescent="0.2">
      <c r="A64" s="79"/>
      <c r="B64" s="79"/>
      <c r="C64" s="79"/>
      <c r="D64" s="79"/>
      <c r="E64" s="79"/>
      <c r="F64" s="79">
        <v>3691</v>
      </c>
      <c r="G64" s="83" t="s">
        <v>230</v>
      </c>
      <c r="H64" s="84">
        <v>6000</v>
      </c>
      <c r="I64" s="82">
        <v>0</v>
      </c>
      <c r="J64" s="82">
        <f t="shared" si="17"/>
        <v>6000</v>
      </c>
      <c r="K64" s="82">
        <v>0</v>
      </c>
      <c r="L64" s="82">
        <v>2838</v>
      </c>
      <c r="M64" s="82">
        <v>2838</v>
      </c>
      <c r="N64" s="82">
        <v>2838</v>
      </c>
      <c r="O64" s="92"/>
    </row>
    <row r="65" spans="1:15" s="93" customFormat="1" ht="22.5" x14ac:dyDescent="0.2">
      <c r="A65" s="79"/>
      <c r="B65" s="79"/>
      <c r="C65" s="79"/>
      <c r="D65" s="79"/>
      <c r="E65" s="79"/>
      <c r="F65" s="79">
        <v>3721</v>
      </c>
      <c r="G65" s="87" t="s">
        <v>231</v>
      </c>
      <c r="H65" s="84">
        <v>6000</v>
      </c>
      <c r="I65" s="82">
        <v>-3000</v>
      </c>
      <c r="J65" s="82">
        <f t="shared" si="17"/>
        <v>3000</v>
      </c>
      <c r="K65" s="82">
        <v>0</v>
      </c>
      <c r="L65" s="82">
        <v>0</v>
      </c>
      <c r="M65" s="82">
        <v>0</v>
      </c>
      <c r="N65" s="82">
        <v>0</v>
      </c>
      <c r="O65" s="92"/>
    </row>
    <row r="66" spans="1:15" s="93" customFormat="1" ht="22.5" x14ac:dyDescent="0.2">
      <c r="A66" s="79"/>
      <c r="B66" s="79"/>
      <c r="C66" s="79"/>
      <c r="D66" s="79"/>
      <c r="E66" s="79"/>
      <c r="F66" s="79">
        <v>3751</v>
      </c>
      <c r="G66" s="95" t="s">
        <v>232</v>
      </c>
      <c r="H66" s="84">
        <v>50000</v>
      </c>
      <c r="I66" s="82">
        <v>-20000</v>
      </c>
      <c r="J66" s="82">
        <f t="shared" si="17"/>
        <v>30000</v>
      </c>
      <c r="K66" s="82">
        <v>0</v>
      </c>
      <c r="L66" s="82">
        <v>0</v>
      </c>
      <c r="M66" s="82">
        <v>0</v>
      </c>
      <c r="N66" s="82">
        <v>0</v>
      </c>
      <c r="O66" s="92"/>
    </row>
    <row r="67" spans="1:15" s="93" customFormat="1" x14ac:dyDescent="0.2">
      <c r="A67" s="79"/>
      <c r="B67" s="79"/>
      <c r="C67" s="79"/>
      <c r="D67" s="79"/>
      <c r="E67" s="79"/>
      <c r="F67" s="79">
        <v>3791</v>
      </c>
      <c r="G67" s="85" t="s">
        <v>233</v>
      </c>
      <c r="H67" s="84">
        <v>5000</v>
      </c>
      <c r="I67" s="82">
        <v>-2000</v>
      </c>
      <c r="J67" s="82">
        <f t="shared" si="17"/>
        <v>3000</v>
      </c>
      <c r="K67" s="82">
        <v>0</v>
      </c>
      <c r="L67" s="82">
        <v>290</v>
      </c>
      <c r="M67" s="82">
        <v>290</v>
      </c>
      <c r="N67" s="82">
        <v>290</v>
      </c>
      <c r="O67" s="92"/>
    </row>
    <row r="68" spans="1:15" s="93" customFormat="1" ht="22.5" x14ac:dyDescent="0.2">
      <c r="A68" s="79"/>
      <c r="B68" s="79"/>
      <c r="C68" s="79"/>
      <c r="D68" s="79"/>
      <c r="E68" s="79"/>
      <c r="F68" s="79">
        <v>3852</v>
      </c>
      <c r="G68" s="95" t="s">
        <v>234</v>
      </c>
      <c r="H68" s="84">
        <v>60000</v>
      </c>
      <c r="I68" s="82">
        <v>-10000</v>
      </c>
      <c r="J68" s="82">
        <f t="shared" si="17"/>
        <v>50000</v>
      </c>
      <c r="K68" s="82">
        <v>0</v>
      </c>
      <c r="L68" s="82">
        <v>36403.82</v>
      </c>
      <c r="M68" s="82">
        <v>36403.82</v>
      </c>
      <c r="N68" s="82">
        <v>36403.82</v>
      </c>
      <c r="O68" s="92"/>
    </row>
    <row r="69" spans="1:15" s="93" customFormat="1" x14ac:dyDescent="0.2">
      <c r="A69" s="79"/>
      <c r="B69" s="79"/>
      <c r="C69" s="79"/>
      <c r="D69" s="79"/>
      <c r="E69" s="79"/>
      <c r="F69" s="79">
        <v>3853</v>
      </c>
      <c r="G69" s="83" t="s">
        <v>235</v>
      </c>
      <c r="H69" s="84">
        <v>40000</v>
      </c>
      <c r="I69" s="82">
        <v>-20000</v>
      </c>
      <c r="J69" s="82">
        <f t="shared" si="17"/>
        <v>20000</v>
      </c>
      <c r="K69" s="82">
        <v>0</v>
      </c>
      <c r="L69" s="82">
        <v>0</v>
      </c>
      <c r="M69" s="82">
        <v>0</v>
      </c>
      <c r="N69" s="82">
        <v>0</v>
      </c>
      <c r="O69" s="92"/>
    </row>
    <row r="70" spans="1:15" s="93" customFormat="1" x14ac:dyDescent="0.2">
      <c r="A70" s="79"/>
      <c r="B70" s="79"/>
      <c r="C70" s="79"/>
      <c r="D70" s="79"/>
      <c r="E70" s="79"/>
      <c r="F70" s="79">
        <v>3921</v>
      </c>
      <c r="G70" s="83" t="s">
        <v>236</v>
      </c>
      <c r="H70" s="84">
        <v>20000</v>
      </c>
      <c r="I70" s="82">
        <v>0</v>
      </c>
      <c r="J70" s="82">
        <f t="shared" si="17"/>
        <v>20000</v>
      </c>
      <c r="K70" s="82">
        <v>0</v>
      </c>
      <c r="L70" s="82">
        <v>4122.3599999999997</v>
      </c>
      <c r="M70" s="82">
        <v>4122.3599999999997</v>
      </c>
      <c r="N70" s="82">
        <v>4122.3599999999997</v>
      </c>
      <c r="O70" s="92"/>
    </row>
    <row r="71" spans="1:15" s="93" customFormat="1" x14ac:dyDescent="0.2">
      <c r="A71" s="79"/>
      <c r="B71" s="79"/>
      <c r="C71" s="79"/>
      <c r="D71" s="79"/>
      <c r="E71" s="79"/>
      <c r="F71" s="79">
        <v>3981</v>
      </c>
      <c r="G71" s="86" t="s">
        <v>237</v>
      </c>
      <c r="H71" s="84">
        <v>40114.83</v>
      </c>
      <c r="I71" s="82">
        <v>-3114.83</v>
      </c>
      <c r="J71" s="82">
        <f t="shared" si="17"/>
        <v>37000</v>
      </c>
      <c r="K71" s="82">
        <v>0</v>
      </c>
      <c r="L71" s="82">
        <v>24964.57</v>
      </c>
      <c r="M71" s="82">
        <v>24964.57</v>
      </c>
      <c r="N71" s="82">
        <v>24964.57</v>
      </c>
      <c r="O71" s="92"/>
    </row>
    <row r="72" spans="1:15" s="93" customFormat="1" x14ac:dyDescent="0.2">
      <c r="A72" s="79"/>
      <c r="B72" s="79"/>
      <c r="C72" s="79"/>
      <c r="D72" s="79"/>
      <c r="E72" s="79"/>
      <c r="F72" s="79">
        <v>9911</v>
      </c>
      <c r="G72" s="86" t="s">
        <v>286</v>
      </c>
      <c r="H72" s="84">
        <v>0</v>
      </c>
      <c r="I72" s="82">
        <v>6730760</v>
      </c>
      <c r="J72" s="82">
        <f t="shared" si="17"/>
        <v>6730760</v>
      </c>
      <c r="K72" s="82">
        <v>0</v>
      </c>
      <c r="L72" s="82">
        <v>0</v>
      </c>
      <c r="M72" s="82">
        <v>0</v>
      </c>
      <c r="N72" s="82">
        <v>0</v>
      </c>
      <c r="O72" s="92"/>
    </row>
    <row r="73" spans="1:15" s="93" customFormat="1" ht="22.5" x14ac:dyDescent="0.2">
      <c r="A73" s="79" t="s">
        <v>181</v>
      </c>
      <c r="B73" s="79" t="s">
        <v>206</v>
      </c>
      <c r="C73" s="79">
        <v>2</v>
      </c>
      <c r="D73" s="79" t="s">
        <v>183</v>
      </c>
      <c r="E73" s="79" t="s">
        <v>184</v>
      </c>
      <c r="F73" s="79">
        <v>3321</v>
      </c>
      <c r="G73" s="95" t="s">
        <v>238</v>
      </c>
      <c r="H73" s="84">
        <v>8000000</v>
      </c>
      <c r="I73" s="82">
        <v>0</v>
      </c>
      <c r="J73" s="82">
        <f t="shared" si="17"/>
        <v>8000000</v>
      </c>
      <c r="K73" s="82">
        <v>0</v>
      </c>
      <c r="L73" s="82">
        <v>0</v>
      </c>
      <c r="M73" s="82">
        <v>0</v>
      </c>
      <c r="N73" s="82">
        <v>0</v>
      </c>
      <c r="O73" s="92"/>
    </row>
    <row r="74" spans="1:15" s="93" customFormat="1" x14ac:dyDescent="0.2">
      <c r="A74" s="79"/>
      <c r="B74" s="79"/>
      <c r="C74" s="79"/>
      <c r="D74" s="79"/>
      <c r="E74" s="79"/>
      <c r="F74" s="79">
        <v>6621</v>
      </c>
      <c r="G74" s="83" t="s">
        <v>239</v>
      </c>
      <c r="H74" s="84">
        <v>8000000</v>
      </c>
      <c r="I74" s="82">
        <v>0</v>
      </c>
      <c r="J74" s="82">
        <f t="shared" si="17"/>
        <v>8000000</v>
      </c>
      <c r="K74" s="82">
        <v>0</v>
      </c>
      <c r="L74" s="82">
        <v>0</v>
      </c>
      <c r="M74" s="82">
        <v>0</v>
      </c>
      <c r="N74" s="82">
        <v>0</v>
      </c>
      <c r="O74" s="92"/>
    </row>
    <row r="75" spans="1:15" s="93" customFormat="1" x14ac:dyDescent="0.2">
      <c r="A75" s="79" t="s">
        <v>181</v>
      </c>
      <c r="B75" s="79" t="s">
        <v>206</v>
      </c>
      <c r="C75" s="79">
        <v>4</v>
      </c>
      <c r="D75" s="79" t="s">
        <v>183</v>
      </c>
      <c r="E75" s="79" t="s">
        <v>240</v>
      </c>
      <c r="F75" s="79">
        <v>5151</v>
      </c>
      <c r="G75" s="83" t="s">
        <v>241</v>
      </c>
      <c r="H75" s="84">
        <v>40000</v>
      </c>
      <c r="I75" s="82">
        <v>0</v>
      </c>
      <c r="J75" s="82">
        <f t="shared" si="17"/>
        <v>40000</v>
      </c>
      <c r="K75" s="82">
        <v>0</v>
      </c>
      <c r="L75" s="82">
        <v>0</v>
      </c>
      <c r="M75" s="82">
        <v>0</v>
      </c>
      <c r="N75" s="82">
        <v>0</v>
      </c>
      <c r="O75" s="92"/>
    </row>
    <row r="76" spans="1:15" s="93" customFormat="1" x14ac:dyDescent="0.2">
      <c r="A76" s="79"/>
      <c r="B76" s="79"/>
      <c r="C76" s="79"/>
      <c r="D76" s="79"/>
      <c r="E76" s="79"/>
      <c r="F76" s="79">
        <v>6621</v>
      </c>
      <c r="G76" s="83" t="s">
        <v>239</v>
      </c>
      <c r="H76" s="84">
        <v>8000000</v>
      </c>
      <c r="I76" s="82">
        <v>0</v>
      </c>
      <c r="J76" s="82">
        <f t="shared" si="17"/>
        <v>8000000</v>
      </c>
      <c r="K76" s="82">
        <v>0</v>
      </c>
      <c r="L76" s="82">
        <v>0</v>
      </c>
      <c r="M76" s="82">
        <v>0</v>
      </c>
      <c r="N76" s="82">
        <v>0</v>
      </c>
      <c r="O76" s="92"/>
    </row>
    <row r="77" spans="1:15" s="93" customFormat="1" x14ac:dyDescent="0.2">
      <c r="A77" s="79" t="s">
        <v>181</v>
      </c>
      <c r="B77" s="79" t="s">
        <v>206</v>
      </c>
      <c r="C77" s="79">
        <v>6</v>
      </c>
      <c r="D77" s="79" t="s">
        <v>183</v>
      </c>
      <c r="E77" s="79" t="s">
        <v>242</v>
      </c>
      <c r="F77" s="79">
        <v>6621</v>
      </c>
      <c r="G77" s="83" t="s">
        <v>239</v>
      </c>
      <c r="H77" s="84">
        <v>25000000</v>
      </c>
      <c r="I77" s="82">
        <v>0</v>
      </c>
      <c r="J77" s="82">
        <f t="shared" si="17"/>
        <v>25000000</v>
      </c>
      <c r="K77" s="82">
        <v>0</v>
      </c>
      <c r="L77" s="82">
        <v>0</v>
      </c>
      <c r="M77" s="82">
        <v>0</v>
      </c>
      <c r="N77" s="82">
        <v>0</v>
      </c>
      <c r="O77" s="92"/>
    </row>
    <row r="78" spans="1:15" s="93" customFormat="1" x14ac:dyDescent="0.2">
      <c r="A78" s="79"/>
      <c r="B78" s="79"/>
      <c r="C78" s="79"/>
      <c r="D78" s="79"/>
      <c r="E78" s="79"/>
      <c r="F78" s="79"/>
      <c r="G78" s="79"/>
      <c r="H78" s="82"/>
      <c r="I78" s="82"/>
      <c r="J78" s="82"/>
      <c r="K78" s="82"/>
      <c r="L78" s="82"/>
      <c r="M78" s="82"/>
      <c r="N78" s="82"/>
      <c r="O78" s="92"/>
    </row>
    <row r="79" spans="1:15" s="93" customFormat="1" x14ac:dyDescent="0.2">
      <c r="A79" s="79"/>
      <c r="B79" s="79"/>
      <c r="C79" s="79"/>
      <c r="D79" s="79"/>
      <c r="E79" s="79"/>
      <c r="F79" s="79"/>
      <c r="G79" s="79"/>
      <c r="H79" s="82"/>
      <c r="I79" s="82"/>
      <c r="J79" s="82"/>
      <c r="K79" s="82"/>
      <c r="L79" s="82"/>
      <c r="M79" s="82"/>
      <c r="N79" s="82"/>
      <c r="O79" s="92"/>
    </row>
    <row r="80" spans="1:15" s="93" customFormat="1" x14ac:dyDescent="0.2">
      <c r="A80" s="80"/>
      <c r="B80" s="80"/>
      <c r="C80" s="80"/>
      <c r="D80" s="80"/>
      <c r="E80" s="80"/>
      <c r="F80" s="80"/>
      <c r="G80" s="80" t="s">
        <v>243</v>
      </c>
      <c r="H80" s="81">
        <f t="shared" ref="H80:L80" si="23">+H81+H107+H121+H124</f>
        <v>6195006</v>
      </c>
      <c r="I80" s="81">
        <f t="shared" si="23"/>
        <v>-1182248.53</v>
      </c>
      <c r="J80" s="81">
        <f t="shared" si="23"/>
        <v>5012757.47</v>
      </c>
      <c r="K80" s="81">
        <f t="shared" si="23"/>
        <v>0</v>
      </c>
      <c r="L80" s="81">
        <f t="shared" si="23"/>
        <v>430255.28</v>
      </c>
      <c r="M80" s="81">
        <f t="shared" ref="M80:N80" si="24">+M81+M107+M121+M124</f>
        <v>430255.28</v>
      </c>
      <c r="N80" s="81">
        <f t="shared" si="24"/>
        <v>430255.28</v>
      </c>
      <c r="O80" s="92"/>
    </row>
    <row r="81" spans="1:15" s="93" customFormat="1" x14ac:dyDescent="0.2">
      <c r="A81" s="80"/>
      <c r="B81" s="80"/>
      <c r="C81" s="80"/>
      <c r="D81" s="80"/>
      <c r="E81" s="80"/>
      <c r="F81" s="80"/>
      <c r="G81" s="80" t="s">
        <v>244</v>
      </c>
      <c r="H81" s="81">
        <f t="shared" ref="H81:L81" si="25">SUM(H82:H104)</f>
        <v>763206</v>
      </c>
      <c r="I81" s="81">
        <f t="shared" si="25"/>
        <v>-182248.53</v>
      </c>
      <c r="J81" s="81">
        <f t="shared" si="25"/>
        <v>580957.47</v>
      </c>
      <c r="K81" s="81">
        <f t="shared" si="25"/>
        <v>0</v>
      </c>
      <c r="L81" s="81">
        <f t="shared" si="25"/>
        <v>253121.69</v>
      </c>
      <c r="M81" s="81">
        <f t="shared" ref="M81:N81" si="26">SUM(M82:M104)</f>
        <v>253121.69</v>
      </c>
      <c r="N81" s="81">
        <f t="shared" si="26"/>
        <v>253121.69</v>
      </c>
      <c r="O81" s="92"/>
    </row>
    <row r="82" spans="1:15" s="93" customFormat="1" x14ac:dyDescent="0.2">
      <c r="A82" s="79" t="s">
        <v>181</v>
      </c>
      <c r="B82" s="79" t="s">
        <v>245</v>
      </c>
      <c r="C82" s="79">
        <v>1</v>
      </c>
      <c r="D82" s="79" t="s">
        <v>246</v>
      </c>
      <c r="E82" s="79" t="s">
        <v>186</v>
      </c>
      <c r="F82" s="79">
        <v>1131</v>
      </c>
      <c r="G82" s="83" t="s">
        <v>207</v>
      </c>
      <c r="H82" s="84">
        <v>307344</v>
      </c>
      <c r="I82" s="82">
        <v>-79116</v>
      </c>
      <c r="J82" s="82">
        <f>+H82+I82</f>
        <v>228228</v>
      </c>
      <c r="K82" s="82">
        <v>0</v>
      </c>
      <c r="L82" s="82">
        <v>177510.71</v>
      </c>
      <c r="M82" s="82">
        <v>177510.71</v>
      </c>
      <c r="N82" s="82">
        <v>177510.71</v>
      </c>
      <c r="O82" s="92"/>
    </row>
    <row r="83" spans="1:15" s="93" customFormat="1" x14ac:dyDescent="0.2">
      <c r="A83" s="79"/>
      <c r="B83" s="79"/>
      <c r="C83" s="79"/>
      <c r="D83" s="79"/>
      <c r="E83" s="79"/>
      <c r="F83" s="79">
        <v>1321</v>
      </c>
      <c r="G83" s="83" t="s">
        <v>208</v>
      </c>
      <c r="H83" s="84">
        <v>7939.72</v>
      </c>
      <c r="I83" s="82">
        <v>-2043.51</v>
      </c>
      <c r="J83" s="82">
        <f t="shared" ref="J83:J104" si="27">+H83+I83</f>
        <v>5896.21</v>
      </c>
      <c r="K83" s="82">
        <v>0</v>
      </c>
      <c r="L83" s="82">
        <v>2947.85</v>
      </c>
      <c r="M83" s="82">
        <v>2947.85</v>
      </c>
      <c r="N83" s="82">
        <v>2947.85</v>
      </c>
      <c r="O83" s="92"/>
    </row>
    <row r="84" spans="1:15" s="93" customFormat="1" x14ac:dyDescent="0.2">
      <c r="A84" s="79"/>
      <c r="B84" s="79"/>
      <c r="C84" s="79"/>
      <c r="D84" s="79"/>
      <c r="E84" s="79"/>
      <c r="F84" s="79">
        <v>1323</v>
      </c>
      <c r="G84" s="83" t="s">
        <v>209</v>
      </c>
      <c r="H84" s="84">
        <v>42686.67</v>
      </c>
      <c r="I84" s="82">
        <v>-10988.34</v>
      </c>
      <c r="J84" s="82">
        <f t="shared" si="27"/>
        <v>31698.329999999998</v>
      </c>
      <c r="K84" s="82">
        <v>0</v>
      </c>
      <c r="L84" s="82">
        <v>0</v>
      </c>
      <c r="M84" s="82">
        <v>0</v>
      </c>
      <c r="N84" s="82">
        <v>0</v>
      </c>
      <c r="O84" s="92"/>
    </row>
    <row r="85" spans="1:15" s="93" customFormat="1" x14ac:dyDescent="0.2">
      <c r="A85" s="79"/>
      <c r="B85" s="79"/>
      <c r="C85" s="79"/>
      <c r="D85" s="79"/>
      <c r="E85" s="79"/>
      <c r="F85" s="79">
        <v>1413</v>
      </c>
      <c r="G85" s="83" t="s">
        <v>189</v>
      </c>
      <c r="H85" s="84">
        <v>33831.449999999997</v>
      </c>
      <c r="I85" s="82">
        <v>-10872.28</v>
      </c>
      <c r="J85" s="82">
        <f t="shared" si="27"/>
        <v>22959.17</v>
      </c>
      <c r="K85" s="82">
        <v>0</v>
      </c>
      <c r="L85" s="82">
        <v>17396.939999999999</v>
      </c>
      <c r="M85" s="82">
        <v>17396.939999999999</v>
      </c>
      <c r="N85" s="82">
        <v>17396.939999999999</v>
      </c>
      <c r="O85" s="92"/>
    </row>
    <row r="86" spans="1:15" s="93" customFormat="1" x14ac:dyDescent="0.2">
      <c r="A86" s="79"/>
      <c r="B86" s="79"/>
      <c r="C86" s="79"/>
      <c r="D86" s="79"/>
      <c r="E86" s="79"/>
      <c r="F86" s="79">
        <v>1421</v>
      </c>
      <c r="G86" s="83" t="s">
        <v>190</v>
      </c>
      <c r="H86" s="84">
        <v>18459.310000000001</v>
      </c>
      <c r="I86" s="82">
        <v>-4751.7700000000004</v>
      </c>
      <c r="J86" s="82">
        <f t="shared" si="27"/>
        <v>13707.54</v>
      </c>
      <c r="K86" s="82">
        <v>0</v>
      </c>
      <c r="L86" s="82">
        <v>8954.07</v>
      </c>
      <c r="M86" s="82">
        <v>8954.07</v>
      </c>
      <c r="N86" s="82">
        <v>8954.07</v>
      </c>
      <c r="O86" s="92"/>
    </row>
    <row r="87" spans="1:15" s="93" customFormat="1" x14ac:dyDescent="0.2">
      <c r="A87" s="79"/>
      <c r="B87" s="79"/>
      <c r="C87" s="79"/>
      <c r="D87" s="79"/>
      <c r="E87" s="79"/>
      <c r="F87" s="79">
        <v>1431</v>
      </c>
      <c r="G87" s="83" t="s">
        <v>191</v>
      </c>
      <c r="H87" s="84">
        <v>19013.080000000002</v>
      </c>
      <c r="I87" s="82">
        <v>-4894.3100000000004</v>
      </c>
      <c r="J87" s="82">
        <f t="shared" si="27"/>
        <v>14118.77</v>
      </c>
      <c r="K87" s="82">
        <v>0</v>
      </c>
      <c r="L87" s="82">
        <v>9222.68</v>
      </c>
      <c r="M87" s="82">
        <v>9222.68</v>
      </c>
      <c r="N87" s="82">
        <v>9222.68</v>
      </c>
      <c r="O87" s="92"/>
    </row>
    <row r="88" spans="1:15" s="93" customFormat="1" x14ac:dyDescent="0.2">
      <c r="A88" s="79"/>
      <c r="B88" s="79"/>
      <c r="C88" s="79"/>
      <c r="D88" s="79"/>
      <c r="E88" s="79"/>
      <c r="F88" s="79">
        <v>1511</v>
      </c>
      <c r="G88" s="87" t="s">
        <v>210</v>
      </c>
      <c r="H88" s="84">
        <v>6146.88</v>
      </c>
      <c r="I88" s="82">
        <v>-1582.32</v>
      </c>
      <c r="J88" s="82">
        <f t="shared" si="27"/>
        <v>4564.5600000000004</v>
      </c>
      <c r="K88" s="82">
        <v>0</v>
      </c>
      <c r="L88" s="82">
        <v>3550.2</v>
      </c>
      <c r="M88" s="82">
        <v>3550.2</v>
      </c>
      <c r="N88" s="82">
        <v>3550.2</v>
      </c>
      <c r="O88" s="92"/>
    </row>
    <row r="89" spans="1:15" s="93" customFormat="1" x14ac:dyDescent="0.2">
      <c r="A89" s="79" t="s">
        <v>181</v>
      </c>
      <c r="B89" s="79" t="s">
        <v>245</v>
      </c>
      <c r="C89" s="79">
        <v>1</v>
      </c>
      <c r="D89" s="79" t="s">
        <v>246</v>
      </c>
      <c r="E89" s="79" t="s">
        <v>184</v>
      </c>
      <c r="F89" s="79">
        <v>2111</v>
      </c>
      <c r="G89" s="83" t="s">
        <v>212</v>
      </c>
      <c r="H89" s="84">
        <v>10000</v>
      </c>
      <c r="I89" s="82">
        <v>-3000</v>
      </c>
      <c r="J89" s="82">
        <f t="shared" si="27"/>
        <v>7000</v>
      </c>
      <c r="K89" s="82">
        <v>0</v>
      </c>
      <c r="L89" s="82">
        <v>1110.69</v>
      </c>
      <c r="M89" s="82">
        <v>1110.69</v>
      </c>
      <c r="N89" s="82">
        <v>1110.69</v>
      </c>
      <c r="O89" s="92"/>
    </row>
    <row r="90" spans="1:15" s="93" customFormat="1" x14ac:dyDescent="0.2">
      <c r="A90" s="79"/>
      <c r="B90" s="79"/>
      <c r="C90" s="79"/>
      <c r="D90" s="79"/>
      <c r="E90" s="79"/>
      <c r="F90" s="79">
        <v>2112</v>
      </c>
      <c r="G90" s="83" t="s">
        <v>213</v>
      </c>
      <c r="H90" s="84">
        <v>4500</v>
      </c>
      <c r="I90" s="82">
        <v>-4500</v>
      </c>
      <c r="J90" s="82">
        <f t="shared" si="27"/>
        <v>0</v>
      </c>
      <c r="K90" s="82">
        <v>0</v>
      </c>
      <c r="L90" s="82">
        <v>0</v>
      </c>
      <c r="M90" s="82">
        <v>0</v>
      </c>
      <c r="N90" s="82">
        <v>0</v>
      </c>
      <c r="O90" s="92"/>
    </row>
    <row r="91" spans="1:15" s="93" customFormat="1" x14ac:dyDescent="0.2">
      <c r="A91" s="79"/>
      <c r="B91" s="79"/>
      <c r="C91" s="79"/>
      <c r="D91" s="79"/>
      <c r="E91" s="79"/>
      <c r="F91" s="79">
        <v>2121</v>
      </c>
      <c r="G91" s="83" t="s">
        <v>214</v>
      </c>
      <c r="H91" s="84">
        <v>6000</v>
      </c>
      <c r="I91" s="82">
        <v>-3000</v>
      </c>
      <c r="J91" s="82">
        <f t="shared" si="27"/>
        <v>3000</v>
      </c>
      <c r="K91" s="82">
        <v>0</v>
      </c>
      <c r="L91" s="82">
        <v>522</v>
      </c>
      <c r="M91" s="82">
        <v>522</v>
      </c>
      <c r="N91" s="82">
        <v>522</v>
      </c>
      <c r="O91" s="92"/>
    </row>
    <row r="92" spans="1:15" s="93" customFormat="1" ht="22.5" x14ac:dyDescent="0.2">
      <c r="A92" s="79"/>
      <c r="B92" s="79"/>
      <c r="C92" s="79"/>
      <c r="D92" s="79"/>
      <c r="E92" s="79"/>
      <c r="F92" s="79">
        <v>2212</v>
      </c>
      <c r="G92" s="95" t="s">
        <v>192</v>
      </c>
      <c r="H92" s="84">
        <v>10000</v>
      </c>
      <c r="I92" s="82">
        <v>-3000</v>
      </c>
      <c r="J92" s="82">
        <f t="shared" si="27"/>
        <v>7000</v>
      </c>
      <c r="K92" s="82">
        <v>0</v>
      </c>
      <c r="L92" s="82">
        <v>2457.2600000000002</v>
      </c>
      <c r="M92" s="82">
        <v>2457.2600000000002</v>
      </c>
      <c r="N92" s="82">
        <v>2457.2600000000002</v>
      </c>
      <c r="O92" s="92"/>
    </row>
    <row r="93" spans="1:15" s="93" customFormat="1" ht="33.75" x14ac:dyDescent="0.2">
      <c r="A93" s="79"/>
      <c r="B93" s="79"/>
      <c r="C93" s="79"/>
      <c r="D93" s="79"/>
      <c r="E93" s="79"/>
      <c r="F93" s="79">
        <v>2612</v>
      </c>
      <c r="G93" s="95" t="s">
        <v>215</v>
      </c>
      <c r="H93" s="84">
        <v>40000</v>
      </c>
      <c r="I93" s="82">
        <v>-15000</v>
      </c>
      <c r="J93" s="82">
        <f t="shared" si="27"/>
        <v>25000</v>
      </c>
      <c r="K93" s="82">
        <v>0</v>
      </c>
      <c r="L93" s="82">
        <v>11599.12</v>
      </c>
      <c r="M93" s="82">
        <v>11599.12</v>
      </c>
      <c r="N93" s="82">
        <v>11599.12</v>
      </c>
      <c r="O93" s="92"/>
    </row>
    <row r="94" spans="1:15" s="93" customFormat="1" ht="22.5" x14ac:dyDescent="0.2">
      <c r="A94" s="79"/>
      <c r="B94" s="79"/>
      <c r="C94" s="79"/>
      <c r="D94" s="79"/>
      <c r="E94" s="79"/>
      <c r="F94" s="79">
        <v>2941</v>
      </c>
      <c r="G94" s="95" t="s">
        <v>217</v>
      </c>
      <c r="H94" s="84">
        <v>3000</v>
      </c>
      <c r="I94" s="82">
        <v>0</v>
      </c>
      <c r="J94" s="82">
        <f t="shared" si="27"/>
        <v>3000</v>
      </c>
      <c r="K94" s="82">
        <v>0</v>
      </c>
      <c r="L94" s="82">
        <v>0</v>
      </c>
      <c r="M94" s="82">
        <v>0</v>
      </c>
      <c r="N94" s="82">
        <v>0</v>
      </c>
      <c r="O94" s="92"/>
    </row>
    <row r="95" spans="1:15" s="93" customFormat="1" x14ac:dyDescent="0.2">
      <c r="A95" s="79"/>
      <c r="B95" s="79"/>
      <c r="C95" s="79"/>
      <c r="D95" s="79"/>
      <c r="E95" s="79"/>
      <c r="F95" s="79">
        <v>3811</v>
      </c>
      <c r="G95" s="83" t="s">
        <v>220</v>
      </c>
      <c r="H95" s="84">
        <v>3000</v>
      </c>
      <c r="I95" s="82">
        <v>-1500</v>
      </c>
      <c r="J95" s="82">
        <f t="shared" si="27"/>
        <v>1500</v>
      </c>
      <c r="K95" s="82">
        <v>0</v>
      </c>
      <c r="L95" s="82">
        <v>227.77</v>
      </c>
      <c r="M95" s="82">
        <v>227.77</v>
      </c>
      <c r="N95" s="82">
        <v>227.77</v>
      </c>
      <c r="O95" s="92"/>
    </row>
    <row r="96" spans="1:15" s="93" customFormat="1" x14ac:dyDescent="0.2">
      <c r="A96" s="79"/>
      <c r="B96" s="79"/>
      <c r="C96" s="79"/>
      <c r="D96" s="79"/>
      <c r="E96" s="79"/>
      <c r="F96" s="79">
        <v>3451</v>
      </c>
      <c r="G96" s="83" t="s">
        <v>224</v>
      </c>
      <c r="H96" s="84">
        <v>5000</v>
      </c>
      <c r="I96" s="82">
        <v>0</v>
      </c>
      <c r="J96" s="82">
        <f t="shared" si="27"/>
        <v>5000</v>
      </c>
      <c r="K96" s="82">
        <v>0</v>
      </c>
      <c r="L96" s="82">
        <f>+M96</f>
        <v>0</v>
      </c>
      <c r="M96" s="82">
        <f t="shared" ref="M96:N96" si="28">+N96</f>
        <v>0</v>
      </c>
      <c r="N96" s="82">
        <f t="shared" si="28"/>
        <v>0</v>
      </c>
      <c r="O96" s="92"/>
    </row>
    <row r="97" spans="1:15" s="93" customFormat="1" ht="22.5" x14ac:dyDescent="0.2">
      <c r="A97" s="79"/>
      <c r="B97" s="79"/>
      <c r="C97" s="79"/>
      <c r="D97" s="79"/>
      <c r="E97" s="79"/>
      <c r="F97" s="79">
        <v>3551</v>
      </c>
      <c r="G97" s="95" t="s">
        <v>226</v>
      </c>
      <c r="H97" s="84">
        <v>10000</v>
      </c>
      <c r="I97" s="82">
        <v>0</v>
      </c>
      <c r="J97" s="82">
        <f t="shared" si="27"/>
        <v>10000</v>
      </c>
      <c r="K97" s="82">
        <v>0</v>
      </c>
      <c r="L97" s="82">
        <v>431</v>
      </c>
      <c r="M97" s="82">
        <v>431</v>
      </c>
      <c r="N97" s="82">
        <v>431</v>
      </c>
      <c r="O97" s="92"/>
    </row>
    <row r="98" spans="1:15" s="93" customFormat="1" ht="22.5" x14ac:dyDescent="0.2">
      <c r="A98" s="79"/>
      <c r="B98" s="79"/>
      <c r="C98" s="79"/>
      <c r="D98" s="79"/>
      <c r="E98" s="79"/>
      <c r="F98" s="79">
        <v>3721</v>
      </c>
      <c r="G98" s="87" t="s">
        <v>231</v>
      </c>
      <c r="H98" s="84">
        <v>10000</v>
      </c>
      <c r="I98" s="82">
        <v>-5000</v>
      </c>
      <c r="J98" s="82">
        <f t="shared" si="27"/>
        <v>5000</v>
      </c>
      <c r="K98" s="82">
        <v>0</v>
      </c>
      <c r="L98" s="82">
        <v>0</v>
      </c>
      <c r="M98" s="82">
        <v>0</v>
      </c>
      <c r="N98" s="82">
        <v>0</v>
      </c>
      <c r="O98" s="92"/>
    </row>
    <row r="99" spans="1:15" s="93" customFormat="1" ht="22.5" x14ac:dyDescent="0.2">
      <c r="A99" s="79"/>
      <c r="B99" s="79"/>
      <c r="C99" s="79"/>
      <c r="D99" s="79"/>
      <c r="E99" s="79"/>
      <c r="F99" s="79">
        <v>3751</v>
      </c>
      <c r="G99" s="95" t="s">
        <v>232</v>
      </c>
      <c r="H99" s="84">
        <v>50000</v>
      </c>
      <c r="I99" s="82">
        <v>-15000</v>
      </c>
      <c r="J99" s="82">
        <f t="shared" si="27"/>
        <v>35000</v>
      </c>
      <c r="K99" s="82">
        <v>0</v>
      </c>
      <c r="L99" s="82">
        <v>2999.01</v>
      </c>
      <c r="M99" s="82">
        <v>2999.01</v>
      </c>
      <c r="N99" s="82">
        <v>2999.01</v>
      </c>
      <c r="O99" s="92"/>
    </row>
    <row r="100" spans="1:15" s="93" customFormat="1" x14ac:dyDescent="0.2">
      <c r="A100" s="79"/>
      <c r="B100" s="79"/>
      <c r="C100" s="79"/>
      <c r="D100" s="79"/>
      <c r="E100" s="79"/>
      <c r="F100" s="79">
        <v>3791</v>
      </c>
      <c r="G100" s="95" t="s">
        <v>233</v>
      </c>
      <c r="H100" s="84">
        <v>10000</v>
      </c>
      <c r="I100" s="82">
        <v>-5000</v>
      </c>
      <c r="J100" s="82">
        <f t="shared" si="27"/>
        <v>5000</v>
      </c>
      <c r="K100" s="82">
        <v>0</v>
      </c>
      <c r="L100" s="82">
        <v>2120.0500000000002</v>
      </c>
      <c r="M100" s="82">
        <v>2120.0500000000002</v>
      </c>
      <c r="N100" s="82">
        <v>2120.0500000000002</v>
      </c>
      <c r="O100" s="92"/>
    </row>
    <row r="101" spans="1:15" s="93" customFormat="1" ht="22.5" x14ac:dyDescent="0.2">
      <c r="A101" s="79"/>
      <c r="B101" s="79"/>
      <c r="C101" s="79"/>
      <c r="D101" s="79"/>
      <c r="E101" s="79"/>
      <c r="F101" s="79">
        <v>3852</v>
      </c>
      <c r="G101" s="95" t="s">
        <v>234</v>
      </c>
      <c r="H101" s="84">
        <v>5000</v>
      </c>
      <c r="I101" s="82">
        <v>-3000</v>
      </c>
      <c r="J101" s="82">
        <f t="shared" si="27"/>
        <v>2000</v>
      </c>
      <c r="K101" s="82">
        <v>0</v>
      </c>
      <c r="L101" s="82">
        <v>20</v>
      </c>
      <c r="M101" s="82">
        <v>20</v>
      </c>
      <c r="N101" s="82">
        <v>20</v>
      </c>
      <c r="O101" s="92"/>
    </row>
    <row r="102" spans="1:15" s="93" customFormat="1" x14ac:dyDescent="0.2">
      <c r="A102" s="79"/>
      <c r="B102" s="79"/>
      <c r="C102" s="79"/>
      <c r="D102" s="79"/>
      <c r="E102" s="79"/>
      <c r="F102" s="79">
        <v>3853</v>
      </c>
      <c r="G102" s="83" t="s">
        <v>235</v>
      </c>
      <c r="H102" s="84">
        <v>10000</v>
      </c>
      <c r="I102" s="82">
        <v>-10000</v>
      </c>
      <c r="J102" s="82">
        <f t="shared" si="27"/>
        <v>0</v>
      </c>
      <c r="K102" s="82">
        <v>0</v>
      </c>
      <c r="L102" s="82">
        <v>0</v>
      </c>
      <c r="M102" s="82">
        <f t="shared" ref="M102" si="29">+N102</f>
        <v>0</v>
      </c>
      <c r="N102" s="82">
        <f t="shared" ref="N102" si="30">+O102</f>
        <v>0</v>
      </c>
      <c r="O102" s="92"/>
    </row>
    <row r="103" spans="1:15" s="93" customFormat="1" x14ac:dyDescent="0.2">
      <c r="A103" s="79"/>
      <c r="B103" s="79"/>
      <c r="C103" s="79"/>
      <c r="D103" s="79"/>
      <c r="E103" s="79"/>
      <c r="F103" s="79">
        <v>3981</v>
      </c>
      <c r="G103" s="86" t="s">
        <v>237</v>
      </c>
      <c r="H103" s="84">
        <v>7284.89</v>
      </c>
      <c r="I103" s="82">
        <v>0</v>
      </c>
      <c r="J103" s="82">
        <f t="shared" si="27"/>
        <v>7284.89</v>
      </c>
      <c r="K103" s="82">
        <v>0</v>
      </c>
      <c r="L103" s="82">
        <v>3431.65</v>
      </c>
      <c r="M103" s="82">
        <v>3431.65</v>
      </c>
      <c r="N103" s="82">
        <v>3431.65</v>
      </c>
      <c r="O103" s="92"/>
    </row>
    <row r="104" spans="1:15" s="93" customFormat="1" x14ac:dyDescent="0.2">
      <c r="A104" s="79" t="s">
        <v>181</v>
      </c>
      <c r="B104" s="79" t="s">
        <v>245</v>
      </c>
      <c r="C104" s="79">
        <v>4</v>
      </c>
      <c r="D104" s="79" t="s">
        <v>246</v>
      </c>
      <c r="E104" s="79" t="s">
        <v>184</v>
      </c>
      <c r="F104" s="79">
        <v>3391</v>
      </c>
      <c r="G104" s="83" t="s">
        <v>196</v>
      </c>
      <c r="H104" s="84">
        <v>144000</v>
      </c>
      <c r="I104" s="82">
        <v>0</v>
      </c>
      <c r="J104" s="82">
        <f t="shared" si="27"/>
        <v>144000</v>
      </c>
      <c r="K104" s="82">
        <v>0</v>
      </c>
      <c r="L104" s="82">
        <v>8620.69</v>
      </c>
      <c r="M104" s="82">
        <v>8620.69</v>
      </c>
      <c r="N104" s="82">
        <v>8620.69</v>
      </c>
      <c r="O104" s="92"/>
    </row>
    <row r="105" spans="1:15" s="93" customFormat="1" x14ac:dyDescent="0.2">
      <c r="A105" s="79"/>
      <c r="B105" s="79"/>
      <c r="C105" s="79"/>
      <c r="D105" s="79"/>
      <c r="E105" s="79"/>
      <c r="F105" s="79"/>
      <c r="G105" s="83"/>
      <c r="H105" s="84"/>
      <c r="I105" s="82"/>
      <c r="J105" s="82"/>
      <c r="K105" s="82"/>
      <c r="L105" s="82"/>
      <c r="M105" s="82"/>
      <c r="N105" s="82"/>
      <c r="O105" s="92"/>
    </row>
    <row r="106" spans="1:15" s="93" customFormat="1" x14ac:dyDescent="0.2">
      <c r="A106" s="79"/>
      <c r="B106" s="79"/>
      <c r="C106" s="79"/>
      <c r="D106" s="79"/>
      <c r="E106" s="79"/>
      <c r="F106" s="79"/>
      <c r="G106" s="79"/>
      <c r="H106" s="82"/>
      <c r="I106" s="88"/>
      <c r="J106" s="82"/>
      <c r="K106" s="82"/>
      <c r="L106" s="82"/>
      <c r="M106" s="82"/>
      <c r="N106" s="82"/>
      <c r="O106" s="92"/>
    </row>
    <row r="107" spans="1:15" s="93" customFormat="1" x14ac:dyDescent="0.2">
      <c r="A107" s="80"/>
      <c r="B107" s="80"/>
      <c r="C107" s="80"/>
      <c r="D107" s="80"/>
      <c r="E107" s="80"/>
      <c r="F107" s="80"/>
      <c r="G107" s="80" t="s">
        <v>247</v>
      </c>
      <c r="H107" s="81">
        <f t="shared" ref="H107:L107" si="31">SUM(H108:H118)</f>
        <v>1691800</v>
      </c>
      <c r="I107" s="81">
        <f t="shared" si="31"/>
        <v>0</v>
      </c>
      <c r="J107" s="81">
        <f t="shared" si="31"/>
        <v>1691800</v>
      </c>
      <c r="K107" s="81">
        <f t="shared" si="31"/>
        <v>0</v>
      </c>
      <c r="L107" s="81">
        <f t="shared" si="31"/>
        <v>168633.59</v>
      </c>
      <c r="M107" s="81">
        <f t="shared" ref="M107:N107" si="32">SUM(M108:M118)</f>
        <v>168633.59</v>
      </c>
      <c r="N107" s="81">
        <f t="shared" si="32"/>
        <v>168633.59</v>
      </c>
      <c r="O107" s="92"/>
    </row>
    <row r="108" spans="1:15" s="93" customFormat="1" x14ac:dyDescent="0.2">
      <c r="A108" s="79" t="s">
        <v>181</v>
      </c>
      <c r="B108" s="79" t="s">
        <v>248</v>
      </c>
      <c r="C108" s="79">
        <v>4</v>
      </c>
      <c r="D108" s="79" t="s">
        <v>246</v>
      </c>
      <c r="E108" s="79" t="s">
        <v>186</v>
      </c>
      <c r="F108" s="79">
        <v>1212</v>
      </c>
      <c r="G108" s="83" t="s">
        <v>187</v>
      </c>
      <c r="H108" s="84">
        <v>90000</v>
      </c>
      <c r="I108" s="82">
        <v>0</v>
      </c>
      <c r="J108" s="82">
        <f t="shared" ref="J108:J118" si="33">+H108+I108</f>
        <v>90000</v>
      </c>
      <c r="K108" s="82">
        <v>0</v>
      </c>
      <c r="L108" s="82">
        <v>48227.62</v>
      </c>
      <c r="M108" s="82">
        <v>48227.62</v>
      </c>
      <c r="N108" s="82">
        <v>48227.62</v>
      </c>
      <c r="O108" s="92"/>
    </row>
    <row r="109" spans="1:15" s="93" customFormat="1" x14ac:dyDescent="0.2">
      <c r="A109" s="79"/>
      <c r="B109" s="79"/>
      <c r="C109" s="79"/>
      <c r="D109" s="79"/>
      <c r="E109" s="79"/>
      <c r="F109" s="79">
        <v>3821</v>
      </c>
      <c r="G109" s="83" t="s">
        <v>201</v>
      </c>
      <c r="H109" s="84">
        <v>100000</v>
      </c>
      <c r="I109" s="82">
        <v>0</v>
      </c>
      <c r="J109" s="82">
        <f t="shared" si="33"/>
        <v>100000</v>
      </c>
      <c r="K109" s="82">
        <v>0</v>
      </c>
      <c r="L109" s="82">
        <v>0</v>
      </c>
      <c r="M109" s="82">
        <v>0</v>
      </c>
      <c r="N109" s="82">
        <v>0</v>
      </c>
      <c r="O109" s="92"/>
    </row>
    <row r="110" spans="1:15" s="93" customFormat="1" x14ac:dyDescent="0.2">
      <c r="A110" s="79"/>
      <c r="B110" s="79"/>
      <c r="C110" s="79"/>
      <c r="D110" s="79"/>
      <c r="E110" s="79"/>
      <c r="F110" s="79">
        <v>3981</v>
      </c>
      <c r="G110" s="83" t="s">
        <v>249</v>
      </c>
      <c r="H110" s="84">
        <v>1800</v>
      </c>
      <c r="I110" s="82">
        <v>0</v>
      </c>
      <c r="J110" s="82">
        <f t="shared" si="33"/>
        <v>1800</v>
      </c>
      <c r="K110" s="82">
        <v>0</v>
      </c>
      <c r="L110" s="82">
        <v>964.56</v>
      </c>
      <c r="M110" s="82">
        <v>964.56</v>
      </c>
      <c r="N110" s="82">
        <v>964.56</v>
      </c>
      <c r="O110" s="92"/>
    </row>
    <row r="111" spans="1:15" s="93" customFormat="1" ht="22.5" x14ac:dyDescent="0.2">
      <c r="A111" s="79" t="s">
        <v>181</v>
      </c>
      <c r="B111" s="79" t="s">
        <v>248</v>
      </c>
      <c r="C111" s="79">
        <v>5</v>
      </c>
      <c r="D111" s="79" t="s">
        <v>246</v>
      </c>
      <c r="E111" s="79" t="s">
        <v>184</v>
      </c>
      <c r="F111" s="79">
        <v>2212</v>
      </c>
      <c r="G111" s="95" t="s">
        <v>192</v>
      </c>
      <c r="H111" s="84">
        <v>130000</v>
      </c>
      <c r="I111" s="82">
        <v>0</v>
      </c>
      <c r="J111" s="82">
        <f t="shared" si="33"/>
        <v>130000</v>
      </c>
      <c r="K111" s="82">
        <v>0</v>
      </c>
      <c r="L111" s="82">
        <v>0</v>
      </c>
      <c r="M111" s="82">
        <f t="shared" ref="M111:M112" si="34">+N111</f>
        <v>0</v>
      </c>
      <c r="N111" s="82">
        <f t="shared" ref="N111:N112" si="35">+O111</f>
        <v>0</v>
      </c>
      <c r="O111" s="92"/>
    </row>
    <row r="112" spans="1:15" s="93" customFormat="1" x14ac:dyDescent="0.2">
      <c r="A112" s="79"/>
      <c r="B112" s="79"/>
      <c r="C112" s="79"/>
      <c r="D112" s="79"/>
      <c r="E112" s="79"/>
      <c r="F112" s="79">
        <v>3291</v>
      </c>
      <c r="G112" s="83" t="s">
        <v>250</v>
      </c>
      <c r="H112" s="84">
        <v>264104</v>
      </c>
      <c r="I112" s="82">
        <v>0</v>
      </c>
      <c r="J112" s="82">
        <f t="shared" si="33"/>
        <v>264104</v>
      </c>
      <c r="K112" s="82">
        <v>0</v>
      </c>
      <c r="L112" s="82">
        <v>0</v>
      </c>
      <c r="M112" s="82">
        <f t="shared" si="34"/>
        <v>0</v>
      </c>
      <c r="N112" s="82">
        <f t="shared" si="35"/>
        <v>0</v>
      </c>
      <c r="O112" s="92"/>
    </row>
    <row r="113" spans="1:15" s="93" customFormat="1" x14ac:dyDescent="0.2">
      <c r="A113" s="79"/>
      <c r="B113" s="79"/>
      <c r="C113" s="79"/>
      <c r="D113" s="79"/>
      <c r="E113" s="79"/>
      <c r="F113" s="79">
        <v>3621</v>
      </c>
      <c r="G113" s="83" t="s">
        <v>200</v>
      </c>
      <c r="H113" s="84">
        <v>212280</v>
      </c>
      <c r="I113" s="82">
        <v>0</v>
      </c>
      <c r="J113" s="82">
        <f t="shared" si="33"/>
        <v>212280</v>
      </c>
      <c r="K113" s="82">
        <v>0</v>
      </c>
      <c r="L113" s="82">
        <v>22886.41</v>
      </c>
      <c r="M113" s="82">
        <v>22886.41</v>
      </c>
      <c r="N113" s="82">
        <v>22886.41</v>
      </c>
      <c r="O113" s="92"/>
    </row>
    <row r="114" spans="1:15" s="93" customFormat="1" x14ac:dyDescent="0.2">
      <c r="A114" s="79"/>
      <c r="B114" s="79"/>
      <c r="C114" s="79"/>
      <c r="D114" s="79"/>
      <c r="E114" s="79"/>
      <c r="F114" s="79">
        <v>3821</v>
      </c>
      <c r="G114" s="83" t="s">
        <v>201</v>
      </c>
      <c r="H114" s="84">
        <v>593616</v>
      </c>
      <c r="I114" s="82">
        <v>0</v>
      </c>
      <c r="J114" s="82">
        <f t="shared" si="33"/>
        <v>593616</v>
      </c>
      <c r="K114" s="82">
        <v>0</v>
      </c>
      <c r="L114" s="82">
        <v>96555</v>
      </c>
      <c r="M114" s="82">
        <v>96555</v>
      </c>
      <c r="N114" s="82">
        <v>96555</v>
      </c>
      <c r="O114" s="92"/>
    </row>
    <row r="115" spans="1:15" s="93" customFormat="1" x14ac:dyDescent="0.2">
      <c r="A115" s="79" t="s">
        <v>181</v>
      </c>
      <c r="B115" s="79" t="s">
        <v>248</v>
      </c>
      <c r="C115" s="79">
        <v>6</v>
      </c>
      <c r="D115" s="79" t="s">
        <v>246</v>
      </c>
      <c r="E115" s="79" t="s">
        <v>184</v>
      </c>
      <c r="F115" s="79">
        <v>3291</v>
      </c>
      <c r="G115" s="85" t="s">
        <v>250</v>
      </c>
      <c r="H115" s="84">
        <v>130000</v>
      </c>
      <c r="I115" s="82">
        <v>0</v>
      </c>
      <c r="J115" s="82">
        <f t="shared" si="33"/>
        <v>130000</v>
      </c>
      <c r="K115" s="82">
        <v>0</v>
      </c>
      <c r="L115" s="82">
        <f>+M115</f>
        <v>0</v>
      </c>
      <c r="M115" s="82">
        <f t="shared" ref="M115:N118" si="36">+N115</f>
        <v>0</v>
      </c>
      <c r="N115" s="82">
        <f t="shared" si="36"/>
        <v>0</v>
      </c>
      <c r="O115" s="92"/>
    </row>
    <row r="116" spans="1:15" s="93" customFormat="1" x14ac:dyDescent="0.2">
      <c r="A116" s="79"/>
      <c r="B116" s="79"/>
      <c r="C116" s="79"/>
      <c r="D116" s="79"/>
      <c r="E116" s="79"/>
      <c r="F116" s="79">
        <v>3511</v>
      </c>
      <c r="G116" s="83" t="s">
        <v>198</v>
      </c>
      <c r="H116" s="84">
        <v>23200</v>
      </c>
      <c r="I116" s="82">
        <v>0</v>
      </c>
      <c r="J116" s="82">
        <f t="shared" si="33"/>
        <v>23200</v>
      </c>
      <c r="K116" s="82">
        <v>0</v>
      </c>
      <c r="L116" s="82">
        <f t="shared" ref="L116:L118" si="37">+M116</f>
        <v>0</v>
      </c>
      <c r="M116" s="82">
        <f t="shared" si="36"/>
        <v>0</v>
      </c>
      <c r="N116" s="82">
        <f t="shared" si="36"/>
        <v>0</v>
      </c>
      <c r="O116" s="92"/>
    </row>
    <row r="117" spans="1:15" s="93" customFormat="1" x14ac:dyDescent="0.2">
      <c r="A117" s="79"/>
      <c r="B117" s="79"/>
      <c r="C117" s="79"/>
      <c r="D117" s="79"/>
      <c r="E117" s="79"/>
      <c r="F117" s="79">
        <v>3621</v>
      </c>
      <c r="G117" s="83" t="s">
        <v>200</v>
      </c>
      <c r="H117" s="84">
        <v>107440</v>
      </c>
      <c r="I117" s="82">
        <v>0</v>
      </c>
      <c r="J117" s="82">
        <f t="shared" si="33"/>
        <v>107440</v>
      </c>
      <c r="K117" s="82">
        <v>0</v>
      </c>
      <c r="L117" s="82">
        <f t="shared" si="37"/>
        <v>0</v>
      </c>
      <c r="M117" s="82">
        <f t="shared" si="36"/>
        <v>0</v>
      </c>
      <c r="N117" s="82">
        <f t="shared" si="36"/>
        <v>0</v>
      </c>
      <c r="O117" s="92"/>
    </row>
    <row r="118" spans="1:15" s="93" customFormat="1" x14ac:dyDescent="0.2">
      <c r="A118" s="79"/>
      <c r="B118" s="79"/>
      <c r="C118" s="79"/>
      <c r="D118" s="79"/>
      <c r="E118" s="79"/>
      <c r="F118" s="79">
        <v>3821</v>
      </c>
      <c r="G118" s="83" t="s">
        <v>201</v>
      </c>
      <c r="H118" s="84">
        <v>39360</v>
      </c>
      <c r="I118" s="82">
        <v>0</v>
      </c>
      <c r="J118" s="82">
        <f t="shared" si="33"/>
        <v>39360</v>
      </c>
      <c r="K118" s="82">
        <v>0</v>
      </c>
      <c r="L118" s="82">
        <f t="shared" si="37"/>
        <v>0</v>
      </c>
      <c r="M118" s="82">
        <f t="shared" si="36"/>
        <v>0</v>
      </c>
      <c r="N118" s="82">
        <f t="shared" si="36"/>
        <v>0</v>
      </c>
      <c r="O118" s="92"/>
    </row>
    <row r="119" spans="1:15" s="93" customFormat="1" x14ac:dyDescent="0.2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82"/>
      <c r="L119" s="82"/>
      <c r="M119" s="82"/>
      <c r="N119" s="82"/>
      <c r="O119" s="92"/>
    </row>
    <row r="120" spans="1:15" s="93" customFormat="1" x14ac:dyDescent="0.2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82"/>
      <c r="L120" s="82"/>
      <c r="M120" s="82"/>
      <c r="N120" s="82"/>
      <c r="O120" s="92"/>
    </row>
    <row r="121" spans="1:15" s="93" customFormat="1" x14ac:dyDescent="0.2">
      <c r="A121" s="80"/>
      <c r="B121" s="80"/>
      <c r="C121" s="80"/>
      <c r="D121" s="80"/>
      <c r="E121" s="80"/>
      <c r="F121" s="80"/>
      <c r="G121" s="80" t="s">
        <v>251</v>
      </c>
      <c r="H121" s="81">
        <f t="shared" ref="H121:N121" si="38">SUM(H122:H122)</f>
        <v>3400000</v>
      </c>
      <c r="I121" s="81">
        <f t="shared" si="38"/>
        <v>-1000000</v>
      </c>
      <c r="J121" s="81">
        <f t="shared" si="38"/>
        <v>2400000</v>
      </c>
      <c r="K121" s="81">
        <f t="shared" si="38"/>
        <v>0</v>
      </c>
      <c r="L121" s="81">
        <f t="shared" si="38"/>
        <v>8500</v>
      </c>
      <c r="M121" s="81">
        <f t="shared" si="38"/>
        <v>8500</v>
      </c>
      <c r="N121" s="81">
        <f t="shared" si="38"/>
        <v>8500</v>
      </c>
      <c r="O121" s="92"/>
    </row>
    <row r="122" spans="1:15" s="93" customFormat="1" x14ac:dyDescent="0.2">
      <c r="A122" s="79" t="s">
        <v>181</v>
      </c>
      <c r="B122" s="79" t="s">
        <v>252</v>
      </c>
      <c r="C122" s="79">
        <v>4</v>
      </c>
      <c r="D122" s="79" t="s">
        <v>246</v>
      </c>
      <c r="E122" s="79" t="s">
        <v>184</v>
      </c>
      <c r="F122" s="79">
        <v>3821</v>
      </c>
      <c r="G122" s="83" t="s">
        <v>201</v>
      </c>
      <c r="H122" s="84">
        <v>3400000</v>
      </c>
      <c r="I122" s="82">
        <v>-1000000</v>
      </c>
      <c r="J122" s="82">
        <f t="shared" ref="J122" si="39">+H122+I122</f>
        <v>2400000</v>
      </c>
      <c r="K122" s="82">
        <v>0</v>
      </c>
      <c r="L122" s="82">
        <v>8500</v>
      </c>
      <c r="M122" s="82">
        <v>8500</v>
      </c>
      <c r="N122" s="82">
        <v>8500</v>
      </c>
      <c r="O122" s="92"/>
    </row>
    <row r="123" spans="1:15" s="93" customFormat="1" x14ac:dyDescent="0.2">
      <c r="A123" s="79"/>
      <c r="B123" s="79"/>
      <c r="C123" s="79"/>
      <c r="D123" s="79"/>
      <c r="E123" s="79"/>
      <c r="F123" s="79"/>
      <c r="G123" s="83"/>
      <c r="H123" s="79"/>
      <c r="I123" s="79"/>
      <c r="J123" s="79"/>
      <c r="K123" s="82"/>
      <c r="L123" s="82"/>
      <c r="M123" s="82"/>
      <c r="N123" s="82"/>
      <c r="O123" s="92"/>
    </row>
    <row r="124" spans="1:15" s="93" customFormat="1" x14ac:dyDescent="0.2">
      <c r="A124" s="80"/>
      <c r="B124" s="80"/>
      <c r="C124" s="80"/>
      <c r="D124" s="80"/>
      <c r="E124" s="80"/>
      <c r="F124" s="80"/>
      <c r="G124" s="80" t="s">
        <v>253</v>
      </c>
      <c r="H124" s="81">
        <f t="shared" ref="H124:L124" si="40">SUM(H125:H127)</f>
        <v>340000</v>
      </c>
      <c r="I124" s="81">
        <f t="shared" si="40"/>
        <v>0</v>
      </c>
      <c r="J124" s="81">
        <f t="shared" si="40"/>
        <v>340000</v>
      </c>
      <c r="K124" s="81">
        <f t="shared" si="40"/>
        <v>0</v>
      </c>
      <c r="L124" s="81">
        <f t="shared" si="40"/>
        <v>0</v>
      </c>
      <c r="M124" s="81">
        <f t="shared" ref="M124:N124" si="41">SUM(M125:M127)</f>
        <v>0</v>
      </c>
      <c r="N124" s="81">
        <f t="shared" si="41"/>
        <v>0</v>
      </c>
      <c r="O124" s="92"/>
    </row>
    <row r="125" spans="1:15" s="93" customFormat="1" ht="22.5" x14ac:dyDescent="0.2">
      <c r="A125" s="79" t="s">
        <v>181</v>
      </c>
      <c r="B125" s="79" t="s">
        <v>254</v>
      </c>
      <c r="C125" s="79">
        <v>4</v>
      </c>
      <c r="D125" s="79" t="s">
        <v>246</v>
      </c>
      <c r="E125" s="79" t="s">
        <v>184</v>
      </c>
      <c r="F125" s="79">
        <v>2212</v>
      </c>
      <c r="G125" s="95" t="s">
        <v>192</v>
      </c>
      <c r="H125" s="84">
        <v>70000</v>
      </c>
      <c r="I125" s="82">
        <v>0</v>
      </c>
      <c r="J125" s="82">
        <f>+H125+I125</f>
        <v>70000</v>
      </c>
      <c r="K125" s="82">
        <v>0</v>
      </c>
      <c r="L125" s="82">
        <v>0</v>
      </c>
      <c r="M125" s="82">
        <v>0</v>
      </c>
      <c r="N125" s="82">
        <v>0</v>
      </c>
      <c r="O125" s="92"/>
    </row>
    <row r="126" spans="1:15" s="93" customFormat="1" x14ac:dyDescent="0.2">
      <c r="A126" s="79"/>
      <c r="B126" s="79"/>
      <c r="C126" s="79"/>
      <c r="D126" s="79"/>
      <c r="E126" s="79"/>
      <c r="F126" s="79">
        <v>3231</v>
      </c>
      <c r="G126" s="83" t="s">
        <v>255</v>
      </c>
      <c r="H126" s="84">
        <v>70000</v>
      </c>
      <c r="I126" s="82">
        <v>0</v>
      </c>
      <c r="J126" s="82">
        <f>+H126+I126</f>
        <v>70000</v>
      </c>
      <c r="K126" s="82">
        <v>0</v>
      </c>
      <c r="L126" s="82">
        <f>+M126</f>
        <v>0</v>
      </c>
      <c r="M126" s="82">
        <f t="shared" ref="M126:N126" si="42">+N126</f>
        <v>0</v>
      </c>
      <c r="N126" s="82">
        <f t="shared" si="42"/>
        <v>0</v>
      </c>
      <c r="O126" s="92"/>
    </row>
    <row r="127" spans="1:15" s="93" customFormat="1" x14ac:dyDescent="0.2">
      <c r="A127" s="79"/>
      <c r="B127" s="79"/>
      <c r="C127" s="79"/>
      <c r="D127" s="79"/>
      <c r="E127" s="79"/>
      <c r="F127" s="79">
        <v>3291</v>
      </c>
      <c r="G127" s="83" t="s">
        <v>250</v>
      </c>
      <c r="H127" s="84">
        <v>200000</v>
      </c>
      <c r="I127" s="82">
        <v>0</v>
      </c>
      <c r="J127" s="82">
        <f>+H127+I127</f>
        <v>200000</v>
      </c>
      <c r="K127" s="82">
        <v>0</v>
      </c>
      <c r="L127" s="82">
        <v>0</v>
      </c>
      <c r="M127" s="82">
        <v>0</v>
      </c>
      <c r="N127" s="82">
        <v>0</v>
      </c>
      <c r="O127" s="92"/>
    </row>
    <row r="128" spans="1:15" s="93" customFormat="1" x14ac:dyDescent="0.2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82"/>
      <c r="L128" s="82"/>
      <c r="M128" s="82"/>
      <c r="N128" s="82"/>
      <c r="O128" s="92"/>
    </row>
    <row r="129" spans="1:15" s="93" customFormat="1" x14ac:dyDescent="0.2">
      <c r="A129" s="80"/>
      <c r="B129" s="80"/>
      <c r="C129" s="80"/>
      <c r="D129" s="80"/>
      <c r="E129" s="80"/>
      <c r="F129" s="80"/>
      <c r="G129" s="80" t="s">
        <v>256</v>
      </c>
      <c r="H129" s="81">
        <f>+H130+H165</f>
        <v>2621121</v>
      </c>
      <c r="I129" s="81">
        <f>+I130+I165</f>
        <v>683918.36</v>
      </c>
      <c r="J129" s="81">
        <f>+J130+J165</f>
        <v>3305039.3599999994</v>
      </c>
      <c r="K129" s="81">
        <v>0</v>
      </c>
      <c r="L129" s="81">
        <f>+L130+L165</f>
        <v>1480123.7200000002</v>
      </c>
      <c r="M129" s="81">
        <f t="shared" ref="M129:N129" si="43">+M130+M165</f>
        <v>1480123.7200000002</v>
      </c>
      <c r="N129" s="81">
        <f t="shared" si="43"/>
        <v>1480123.7200000002</v>
      </c>
      <c r="O129" s="92"/>
    </row>
    <row r="130" spans="1:15" s="93" customFormat="1" x14ac:dyDescent="0.2">
      <c r="A130" s="80"/>
      <c r="B130" s="80"/>
      <c r="C130" s="80"/>
      <c r="D130" s="80"/>
      <c r="E130" s="80"/>
      <c r="F130" s="80"/>
      <c r="G130" s="80" t="s">
        <v>257</v>
      </c>
      <c r="H130" s="81">
        <f t="shared" ref="H130:L130" si="44">SUM(H131:H163)</f>
        <v>2459182</v>
      </c>
      <c r="I130" s="81">
        <f t="shared" si="44"/>
        <v>783188.25</v>
      </c>
      <c r="J130" s="81">
        <f t="shared" si="44"/>
        <v>3242370.2499999995</v>
      </c>
      <c r="K130" s="81">
        <f t="shared" si="44"/>
        <v>0</v>
      </c>
      <c r="L130" s="81">
        <f t="shared" si="44"/>
        <v>1438832.8800000001</v>
      </c>
      <c r="M130" s="81">
        <f t="shared" ref="M130:N130" si="45">SUM(M131:M163)</f>
        <v>1438832.8800000001</v>
      </c>
      <c r="N130" s="81">
        <f t="shared" si="45"/>
        <v>1438832.8800000001</v>
      </c>
      <c r="O130" s="92"/>
    </row>
    <row r="131" spans="1:15" s="93" customFormat="1" x14ac:dyDescent="0.2">
      <c r="A131" s="79" t="s">
        <v>181</v>
      </c>
      <c r="B131" s="79" t="s">
        <v>258</v>
      </c>
      <c r="C131" s="79">
        <v>1</v>
      </c>
      <c r="D131" s="79" t="s">
        <v>259</v>
      </c>
      <c r="E131" s="79" t="s">
        <v>186</v>
      </c>
      <c r="F131" s="79">
        <v>1131</v>
      </c>
      <c r="G131" s="83" t="s">
        <v>207</v>
      </c>
      <c r="H131" s="84">
        <v>633648</v>
      </c>
      <c r="I131" s="82">
        <v>-51471</v>
      </c>
      <c r="J131" s="82">
        <f t="shared" ref="J131:J163" si="46">+H131+I131</f>
        <v>582177</v>
      </c>
      <c r="K131" s="82">
        <v>0</v>
      </c>
      <c r="L131" s="82">
        <v>508707.41</v>
      </c>
      <c r="M131" s="82">
        <v>508707.41</v>
      </c>
      <c r="N131" s="82">
        <v>508707.41</v>
      </c>
      <c r="O131" s="92"/>
    </row>
    <row r="132" spans="1:15" s="93" customFormat="1" x14ac:dyDescent="0.2">
      <c r="A132" s="79"/>
      <c r="B132" s="79"/>
      <c r="C132" s="79"/>
      <c r="D132" s="79"/>
      <c r="E132" s="79"/>
      <c r="F132" s="79">
        <v>1321</v>
      </c>
      <c r="G132" s="83" t="s">
        <v>208</v>
      </c>
      <c r="H132" s="84">
        <v>16369.24</v>
      </c>
      <c r="I132" s="82">
        <v>-1911.27</v>
      </c>
      <c r="J132" s="82">
        <f t="shared" si="46"/>
        <v>14457.97</v>
      </c>
      <c r="K132" s="82">
        <v>0</v>
      </c>
      <c r="L132" s="82">
        <v>8575.58</v>
      </c>
      <c r="M132" s="82">
        <v>8575.58</v>
      </c>
      <c r="N132" s="82">
        <v>8575.58</v>
      </c>
      <c r="O132" s="92"/>
    </row>
    <row r="133" spans="1:15" s="93" customFormat="1" x14ac:dyDescent="0.2">
      <c r="A133" s="79"/>
      <c r="B133" s="79"/>
      <c r="C133" s="79"/>
      <c r="D133" s="79"/>
      <c r="E133" s="79"/>
      <c r="F133" s="79">
        <v>1323</v>
      </c>
      <c r="G133" s="83" t="s">
        <v>209</v>
      </c>
      <c r="H133" s="84">
        <v>88006.67</v>
      </c>
      <c r="I133" s="82">
        <v>-7352.67</v>
      </c>
      <c r="J133" s="82">
        <f t="shared" si="46"/>
        <v>80654</v>
      </c>
      <c r="K133" s="82">
        <v>0</v>
      </c>
      <c r="L133" s="82">
        <v>9554.65</v>
      </c>
      <c r="M133" s="82">
        <v>9554.65</v>
      </c>
      <c r="N133" s="82">
        <v>9554.65</v>
      </c>
      <c r="O133" s="92"/>
    </row>
    <row r="134" spans="1:15" s="93" customFormat="1" x14ac:dyDescent="0.2">
      <c r="A134" s="79"/>
      <c r="B134" s="79"/>
      <c r="C134" s="79"/>
      <c r="D134" s="79"/>
      <c r="E134" s="79"/>
      <c r="F134" s="79">
        <v>1413</v>
      </c>
      <c r="G134" s="83" t="s">
        <v>189</v>
      </c>
      <c r="H134" s="84">
        <v>70806.41</v>
      </c>
      <c r="I134" s="82">
        <v>-6773.41</v>
      </c>
      <c r="J134" s="82">
        <f t="shared" si="46"/>
        <v>64033</v>
      </c>
      <c r="K134" s="82">
        <v>0</v>
      </c>
      <c r="L134" s="82">
        <v>64033</v>
      </c>
      <c r="M134" s="82">
        <v>64033</v>
      </c>
      <c r="N134" s="82">
        <v>64033</v>
      </c>
      <c r="O134" s="92"/>
    </row>
    <row r="135" spans="1:15" s="93" customFormat="1" x14ac:dyDescent="0.2">
      <c r="A135" s="79"/>
      <c r="B135" s="79"/>
      <c r="C135" s="79"/>
      <c r="D135" s="79"/>
      <c r="E135" s="79"/>
      <c r="F135" s="79">
        <v>1421</v>
      </c>
      <c r="G135" s="83" t="s">
        <v>190</v>
      </c>
      <c r="H135" s="84">
        <v>38057.360000000001</v>
      </c>
      <c r="I135" s="82">
        <v>-3090.36</v>
      </c>
      <c r="J135" s="82">
        <f t="shared" si="46"/>
        <v>34967</v>
      </c>
      <c r="K135" s="82">
        <v>0</v>
      </c>
      <c r="L135" s="82">
        <v>25567.79</v>
      </c>
      <c r="M135" s="82">
        <v>25567.79</v>
      </c>
      <c r="N135" s="82">
        <v>25567.79</v>
      </c>
      <c r="O135" s="92"/>
    </row>
    <row r="136" spans="1:15" s="93" customFormat="1" x14ac:dyDescent="0.2">
      <c r="A136" s="79"/>
      <c r="B136" s="79"/>
      <c r="C136" s="79"/>
      <c r="D136" s="79"/>
      <c r="E136" s="79"/>
      <c r="F136" s="79">
        <v>1431</v>
      </c>
      <c r="G136" s="83" t="s">
        <v>191</v>
      </c>
      <c r="H136" s="84">
        <v>39199.08</v>
      </c>
      <c r="I136" s="82">
        <v>-3184.08</v>
      </c>
      <c r="J136" s="82">
        <f t="shared" si="46"/>
        <v>36015</v>
      </c>
      <c r="K136" s="82">
        <v>0</v>
      </c>
      <c r="L136" s="82">
        <v>27223.89</v>
      </c>
      <c r="M136" s="82">
        <v>27223.89</v>
      </c>
      <c r="N136" s="82">
        <v>27223.89</v>
      </c>
      <c r="O136" s="92"/>
    </row>
    <row r="137" spans="1:15" s="93" customFormat="1" x14ac:dyDescent="0.2">
      <c r="A137" s="79"/>
      <c r="B137" s="79"/>
      <c r="C137" s="79"/>
      <c r="D137" s="79"/>
      <c r="E137" s="79"/>
      <c r="F137" s="79">
        <v>1511</v>
      </c>
      <c r="G137" s="83" t="s">
        <v>210</v>
      </c>
      <c r="H137" s="84">
        <v>12672.96</v>
      </c>
      <c r="I137" s="82">
        <v>-1028.96</v>
      </c>
      <c r="J137" s="82">
        <f t="shared" si="46"/>
        <v>11644</v>
      </c>
      <c r="K137" s="82">
        <v>0</v>
      </c>
      <c r="L137" s="82">
        <v>10264.67</v>
      </c>
      <c r="M137" s="82">
        <v>10264.67</v>
      </c>
      <c r="N137" s="82">
        <v>10264.67</v>
      </c>
      <c r="O137" s="92"/>
    </row>
    <row r="138" spans="1:15" s="93" customFormat="1" x14ac:dyDescent="0.2">
      <c r="A138" s="79" t="s">
        <v>181</v>
      </c>
      <c r="B138" s="79" t="s">
        <v>258</v>
      </c>
      <c r="C138" s="79">
        <v>1</v>
      </c>
      <c r="D138" s="79" t="s">
        <v>259</v>
      </c>
      <c r="E138" s="79" t="s">
        <v>184</v>
      </c>
      <c r="F138" s="79">
        <v>2111</v>
      </c>
      <c r="G138" s="83" t="s">
        <v>260</v>
      </c>
      <c r="H138" s="84">
        <v>5000</v>
      </c>
      <c r="I138" s="82">
        <v>-5000</v>
      </c>
      <c r="J138" s="82">
        <f t="shared" si="46"/>
        <v>0</v>
      </c>
      <c r="K138" s="82">
        <v>0</v>
      </c>
      <c r="L138" s="82">
        <v>0</v>
      </c>
      <c r="M138" s="82">
        <v>0</v>
      </c>
      <c r="N138" s="82">
        <v>0</v>
      </c>
      <c r="O138" s="92"/>
    </row>
    <row r="139" spans="1:15" s="93" customFormat="1" x14ac:dyDescent="0.2">
      <c r="A139" s="79"/>
      <c r="B139" s="79"/>
      <c r="C139" s="79"/>
      <c r="D139" s="79"/>
      <c r="E139" s="79"/>
      <c r="F139" s="79">
        <v>2161</v>
      </c>
      <c r="G139" s="85" t="s">
        <v>261</v>
      </c>
      <c r="H139" s="84">
        <v>30000</v>
      </c>
      <c r="I139" s="82">
        <v>-15000</v>
      </c>
      <c r="J139" s="82">
        <f t="shared" si="46"/>
        <v>15000</v>
      </c>
      <c r="K139" s="82">
        <v>0</v>
      </c>
      <c r="L139" s="82">
        <v>1877.8</v>
      </c>
      <c r="M139" s="82">
        <v>1877.8</v>
      </c>
      <c r="N139" s="82">
        <v>1877.8</v>
      </c>
      <c r="O139" s="92"/>
    </row>
    <row r="140" spans="1:15" s="93" customFormat="1" ht="22.5" x14ac:dyDescent="0.2">
      <c r="A140" s="79"/>
      <c r="B140" s="79"/>
      <c r="C140" s="79"/>
      <c r="D140" s="79"/>
      <c r="E140" s="79"/>
      <c r="F140" s="79">
        <v>2212</v>
      </c>
      <c r="G140" s="95" t="s">
        <v>192</v>
      </c>
      <c r="H140" s="84">
        <v>7000</v>
      </c>
      <c r="I140" s="82">
        <v>-7000</v>
      </c>
      <c r="J140" s="82">
        <f t="shared" si="46"/>
        <v>0</v>
      </c>
      <c r="K140" s="82">
        <v>0</v>
      </c>
      <c r="L140" s="82">
        <v>0</v>
      </c>
      <c r="M140" s="82">
        <v>0</v>
      </c>
      <c r="N140" s="82">
        <v>0</v>
      </c>
      <c r="O140" s="92"/>
    </row>
    <row r="141" spans="1:15" s="93" customFormat="1" x14ac:dyDescent="0.2">
      <c r="A141" s="79"/>
      <c r="B141" s="79"/>
      <c r="C141" s="79"/>
      <c r="D141" s="79"/>
      <c r="E141" s="79"/>
      <c r="F141" s="79">
        <v>2421</v>
      </c>
      <c r="G141" s="83" t="s">
        <v>262</v>
      </c>
      <c r="H141" s="84">
        <v>10000</v>
      </c>
      <c r="I141" s="82">
        <v>-5000</v>
      </c>
      <c r="J141" s="82">
        <f t="shared" si="46"/>
        <v>5000</v>
      </c>
      <c r="K141" s="82">
        <v>0</v>
      </c>
      <c r="L141" s="82">
        <v>0</v>
      </c>
      <c r="M141" s="82">
        <v>0</v>
      </c>
      <c r="N141" s="82">
        <v>0</v>
      </c>
      <c r="O141" s="92"/>
    </row>
    <row r="142" spans="1:15" s="93" customFormat="1" x14ac:dyDescent="0.2">
      <c r="A142" s="79"/>
      <c r="B142" s="79"/>
      <c r="C142" s="79"/>
      <c r="D142" s="79"/>
      <c r="E142" s="79"/>
      <c r="F142" s="79">
        <v>2461</v>
      </c>
      <c r="G142" s="83" t="s">
        <v>263</v>
      </c>
      <c r="H142" s="84">
        <v>15000</v>
      </c>
      <c r="I142" s="82">
        <v>-10000</v>
      </c>
      <c r="J142" s="82">
        <f t="shared" si="46"/>
        <v>5000</v>
      </c>
      <c r="K142" s="82">
        <v>0</v>
      </c>
      <c r="L142" s="82">
        <v>0</v>
      </c>
      <c r="M142" s="82">
        <v>0</v>
      </c>
      <c r="N142" s="82">
        <v>0</v>
      </c>
      <c r="O142" s="92"/>
    </row>
    <row r="143" spans="1:15" s="93" customFormat="1" x14ac:dyDescent="0.2">
      <c r="A143" s="79"/>
      <c r="B143" s="79"/>
      <c r="C143" s="79"/>
      <c r="D143" s="79"/>
      <c r="E143" s="79"/>
      <c r="F143" s="79">
        <v>2491</v>
      </c>
      <c r="G143" s="83" t="s">
        <v>264</v>
      </c>
      <c r="H143" s="84">
        <v>20000</v>
      </c>
      <c r="I143" s="82">
        <v>-17000</v>
      </c>
      <c r="J143" s="82">
        <f t="shared" si="46"/>
        <v>3000</v>
      </c>
      <c r="K143" s="82">
        <v>0</v>
      </c>
      <c r="L143" s="82">
        <f>+M143</f>
        <v>0</v>
      </c>
      <c r="M143" s="82">
        <f t="shared" ref="M143:N143" si="47">+N143</f>
        <v>0</v>
      </c>
      <c r="N143" s="82">
        <f t="shared" si="47"/>
        <v>0</v>
      </c>
      <c r="O143" s="92"/>
    </row>
    <row r="144" spans="1:15" s="93" customFormat="1" ht="33.75" x14ac:dyDescent="0.2">
      <c r="A144" s="79"/>
      <c r="B144" s="79"/>
      <c r="C144" s="79"/>
      <c r="D144" s="79"/>
      <c r="E144" s="79"/>
      <c r="F144" s="79">
        <v>2612</v>
      </c>
      <c r="G144" s="95" t="s">
        <v>215</v>
      </c>
      <c r="H144" s="84">
        <v>30000</v>
      </c>
      <c r="I144" s="82">
        <v>-12000</v>
      </c>
      <c r="J144" s="82">
        <f t="shared" si="46"/>
        <v>18000</v>
      </c>
      <c r="K144" s="82">
        <v>0</v>
      </c>
      <c r="L144" s="82">
        <v>10329.799999999999</v>
      </c>
      <c r="M144" s="82">
        <v>10329.799999999999</v>
      </c>
      <c r="N144" s="82">
        <v>10329.799999999999</v>
      </c>
      <c r="O144" s="92"/>
    </row>
    <row r="145" spans="1:15" s="93" customFormat="1" ht="22.5" x14ac:dyDescent="0.2">
      <c r="A145" s="79"/>
      <c r="B145" s="79"/>
      <c r="C145" s="79"/>
      <c r="D145" s="79"/>
      <c r="E145" s="79"/>
      <c r="F145" s="79">
        <v>2613</v>
      </c>
      <c r="G145" s="87" t="s">
        <v>265</v>
      </c>
      <c r="H145" s="84">
        <v>25000</v>
      </c>
      <c r="I145" s="82">
        <v>-15000</v>
      </c>
      <c r="J145" s="82">
        <f t="shared" si="46"/>
        <v>10000</v>
      </c>
      <c r="K145" s="82">
        <v>0</v>
      </c>
      <c r="L145" s="82">
        <v>1100</v>
      </c>
      <c r="M145" s="82">
        <v>1100</v>
      </c>
      <c r="N145" s="82">
        <v>1100</v>
      </c>
      <c r="O145" s="92"/>
    </row>
    <row r="146" spans="1:15" s="93" customFormat="1" x14ac:dyDescent="0.2">
      <c r="A146" s="79"/>
      <c r="B146" s="79"/>
      <c r="C146" s="79"/>
      <c r="D146" s="79"/>
      <c r="E146" s="79"/>
      <c r="F146" s="79">
        <v>2721</v>
      </c>
      <c r="G146" s="83" t="s">
        <v>266</v>
      </c>
      <c r="H146" s="84">
        <v>5000</v>
      </c>
      <c r="I146" s="82">
        <v>-2000</v>
      </c>
      <c r="J146" s="82">
        <f t="shared" si="46"/>
        <v>3000</v>
      </c>
      <c r="K146" s="82">
        <v>0</v>
      </c>
      <c r="L146" s="82">
        <v>0</v>
      </c>
      <c r="M146" s="82">
        <v>0</v>
      </c>
      <c r="N146" s="82">
        <v>0</v>
      </c>
      <c r="O146" s="92"/>
    </row>
    <row r="147" spans="1:15" s="93" customFormat="1" x14ac:dyDescent="0.2">
      <c r="A147" s="79"/>
      <c r="B147" s="79"/>
      <c r="C147" s="79"/>
      <c r="D147" s="79"/>
      <c r="E147" s="79"/>
      <c r="F147" s="79">
        <v>2911</v>
      </c>
      <c r="G147" s="83" t="s">
        <v>267</v>
      </c>
      <c r="H147" s="84">
        <v>5000</v>
      </c>
      <c r="I147" s="82">
        <v>-2000</v>
      </c>
      <c r="J147" s="82">
        <f t="shared" si="46"/>
        <v>3000</v>
      </c>
      <c r="K147" s="82">
        <v>0</v>
      </c>
      <c r="L147" s="82">
        <v>0</v>
      </c>
      <c r="M147" s="82">
        <v>0</v>
      </c>
      <c r="N147" s="82">
        <v>0</v>
      </c>
      <c r="O147" s="92"/>
    </row>
    <row r="148" spans="1:15" s="93" customFormat="1" x14ac:dyDescent="0.2">
      <c r="A148" s="79"/>
      <c r="B148" s="79"/>
      <c r="C148" s="79"/>
      <c r="D148" s="79"/>
      <c r="E148" s="79"/>
      <c r="F148" s="79">
        <v>3111</v>
      </c>
      <c r="G148" s="83" t="s">
        <v>193</v>
      </c>
      <c r="H148" s="84">
        <v>300000</v>
      </c>
      <c r="I148" s="82">
        <v>0</v>
      </c>
      <c r="J148" s="82">
        <f t="shared" si="46"/>
        <v>300000</v>
      </c>
      <c r="K148" s="82">
        <v>0</v>
      </c>
      <c r="L148" s="82">
        <v>197475</v>
      </c>
      <c r="M148" s="82">
        <v>197475</v>
      </c>
      <c r="N148" s="82">
        <v>197475</v>
      </c>
      <c r="O148" s="92"/>
    </row>
    <row r="149" spans="1:15" s="93" customFormat="1" x14ac:dyDescent="0.2">
      <c r="A149" s="79"/>
      <c r="B149" s="79"/>
      <c r="C149" s="79"/>
      <c r="D149" s="79"/>
      <c r="E149" s="79"/>
      <c r="F149" s="79">
        <v>3192</v>
      </c>
      <c r="G149" s="83" t="s">
        <v>194</v>
      </c>
      <c r="H149" s="84">
        <v>14000</v>
      </c>
      <c r="I149" s="82">
        <v>-9000</v>
      </c>
      <c r="J149" s="82">
        <f t="shared" si="46"/>
        <v>5000</v>
      </c>
      <c r="K149" s="82">
        <v>0</v>
      </c>
      <c r="L149" s="82">
        <v>0</v>
      </c>
      <c r="M149" s="82">
        <v>0</v>
      </c>
      <c r="N149" s="82">
        <v>0</v>
      </c>
      <c r="O149" s="92"/>
    </row>
    <row r="150" spans="1:15" s="93" customFormat="1" x14ac:dyDescent="0.2">
      <c r="A150" s="79"/>
      <c r="B150" s="79"/>
      <c r="C150" s="79"/>
      <c r="D150" s="79"/>
      <c r="E150" s="79"/>
      <c r="F150" s="79">
        <v>3441</v>
      </c>
      <c r="G150" s="83" t="s">
        <v>268</v>
      </c>
      <c r="H150" s="84">
        <v>12000</v>
      </c>
      <c r="I150" s="82">
        <v>0</v>
      </c>
      <c r="J150" s="82">
        <f t="shared" si="46"/>
        <v>12000</v>
      </c>
      <c r="K150" s="82">
        <v>0</v>
      </c>
      <c r="L150" s="82">
        <v>0</v>
      </c>
      <c r="M150" s="82">
        <v>0</v>
      </c>
      <c r="N150" s="82">
        <v>0</v>
      </c>
      <c r="O150" s="92"/>
    </row>
    <row r="151" spans="1:15" s="93" customFormat="1" x14ac:dyDescent="0.2">
      <c r="A151" s="79"/>
      <c r="B151" s="79"/>
      <c r="C151" s="79"/>
      <c r="D151" s="79"/>
      <c r="E151" s="79"/>
      <c r="F151" s="79">
        <v>3451</v>
      </c>
      <c r="G151" s="83" t="s">
        <v>224</v>
      </c>
      <c r="H151" s="84">
        <v>6000</v>
      </c>
      <c r="I151" s="82">
        <v>0</v>
      </c>
      <c r="J151" s="82">
        <f t="shared" si="46"/>
        <v>6000</v>
      </c>
      <c r="K151" s="82">
        <v>0</v>
      </c>
      <c r="L151" s="82">
        <v>0</v>
      </c>
      <c r="M151" s="82">
        <v>0</v>
      </c>
      <c r="N151" s="82">
        <v>0</v>
      </c>
      <c r="O151" s="92"/>
    </row>
    <row r="152" spans="1:15" s="93" customFormat="1" x14ac:dyDescent="0.2">
      <c r="A152" s="79"/>
      <c r="B152" s="79"/>
      <c r="C152" s="79"/>
      <c r="D152" s="79"/>
      <c r="E152" s="79"/>
      <c r="F152" s="79">
        <v>3471</v>
      </c>
      <c r="G152" s="83" t="s">
        <v>269</v>
      </c>
      <c r="H152" s="84">
        <v>20000</v>
      </c>
      <c r="I152" s="82">
        <v>-15000</v>
      </c>
      <c r="J152" s="82">
        <f t="shared" si="46"/>
        <v>5000</v>
      </c>
      <c r="K152" s="82">
        <v>0</v>
      </c>
      <c r="L152" s="82">
        <v>0</v>
      </c>
      <c r="M152" s="82">
        <v>0</v>
      </c>
      <c r="N152" s="82">
        <v>0</v>
      </c>
      <c r="O152" s="92"/>
    </row>
    <row r="153" spans="1:15" s="93" customFormat="1" x14ac:dyDescent="0.2">
      <c r="A153" s="79"/>
      <c r="B153" s="79"/>
      <c r="C153" s="79"/>
      <c r="D153" s="79"/>
      <c r="E153" s="79"/>
      <c r="F153" s="79">
        <v>3511</v>
      </c>
      <c r="G153" s="83" t="s">
        <v>198</v>
      </c>
      <c r="H153" s="84">
        <v>0</v>
      </c>
      <c r="I153" s="82">
        <v>220000</v>
      </c>
      <c r="J153" s="82">
        <f t="shared" si="46"/>
        <v>220000</v>
      </c>
      <c r="K153" s="82">
        <v>0</v>
      </c>
      <c r="L153" s="82">
        <v>218136.85</v>
      </c>
      <c r="M153" s="82">
        <v>218136.85</v>
      </c>
      <c r="N153" s="82">
        <v>218136.85</v>
      </c>
      <c r="O153" s="92"/>
    </row>
    <row r="154" spans="1:15" s="93" customFormat="1" x14ac:dyDescent="0.2">
      <c r="A154" s="79"/>
      <c r="B154" s="79"/>
      <c r="C154" s="79"/>
      <c r="D154" s="79"/>
      <c r="E154" s="79"/>
      <c r="F154" s="79">
        <v>3511</v>
      </c>
      <c r="G154" s="83" t="s">
        <v>198</v>
      </c>
      <c r="H154" s="84">
        <v>0</v>
      </c>
      <c r="I154" s="82">
        <v>1000000</v>
      </c>
      <c r="J154" s="82">
        <f t="shared" ref="J154" si="48">+H154+I154</f>
        <v>1000000</v>
      </c>
      <c r="K154" s="82">
        <v>0</v>
      </c>
      <c r="L154" s="82">
        <v>86180.800000000003</v>
      </c>
      <c r="M154" s="82">
        <v>86180.800000000003</v>
      </c>
      <c r="N154" s="82">
        <v>86180.800000000003</v>
      </c>
      <c r="O154" s="92"/>
    </row>
    <row r="155" spans="1:15" s="93" customFormat="1" ht="22.5" x14ac:dyDescent="0.2">
      <c r="A155" s="79"/>
      <c r="B155" s="79"/>
      <c r="C155" s="79"/>
      <c r="D155" s="79"/>
      <c r="E155" s="79"/>
      <c r="F155" s="79">
        <v>3551</v>
      </c>
      <c r="G155" s="95" t="s">
        <v>226</v>
      </c>
      <c r="H155" s="84">
        <v>20000</v>
      </c>
      <c r="I155" s="82">
        <v>5000</v>
      </c>
      <c r="J155" s="82">
        <f t="shared" si="46"/>
        <v>25000</v>
      </c>
      <c r="K155" s="82">
        <v>0</v>
      </c>
      <c r="L155" s="82">
        <v>19160.77</v>
      </c>
      <c r="M155" s="82">
        <v>19160.77</v>
      </c>
      <c r="N155" s="82">
        <v>19160.77</v>
      </c>
      <c r="O155" s="92"/>
    </row>
    <row r="156" spans="1:15" s="93" customFormat="1" ht="22.5" x14ac:dyDescent="0.2">
      <c r="A156" s="79"/>
      <c r="B156" s="79"/>
      <c r="C156" s="79"/>
      <c r="D156" s="79"/>
      <c r="E156" s="79"/>
      <c r="F156" s="79">
        <v>3571</v>
      </c>
      <c r="G156" s="87" t="s">
        <v>270</v>
      </c>
      <c r="H156" s="84">
        <v>20000</v>
      </c>
      <c r="I156" s="82">
        <v>-17000</v>
      </c>
      <c r="J156" s="82">
        <f t="shared" si="46"/>
        <v>3000</v>
      </c>
      <c r="K156" s="82">
        <v>0</v>
      </c>
      <c r="L156" s="82">
        <v>2147.9</v>
      </c>
      <c r="M156" s="82">
        <v>2147.9</v>
      </c>
      <c r="N156" s="82">
        <v>2147.9</v>
      </c>
      <c r="O156" s="92"/>
    </row>
    <row r="157" spans="1:15" s="93" customFormat="1" x14ac:dyDescent="0.2">
      <c r="A157" s="79"/>
      <c r="B157" s="79"/>
      <c r="C157" s="79"/>
      <c r="D157" s="79"/>
      <c r="E157" s="79"/>
      <c r="F157" s="79">
        <v>3591</v>
      </c>
      <c r="G157" s="83" t="s">
        <v>271</v>
      </c>
      <c r="H157" s="84">
        <v>16000</v>
      </c>
      <c r="I157" s="82">
        <v>-11000</v>
      </c>
      <c r="J157" s="82">
        <f t="shared" si="46"/>
        <v>5000</v>
      </c>
      <c r="K157" s="82">
        <v>0</v>
      </c>
      <c r="L157" s="82">
        <v>1400</v>
      </c>
      <c r="M157" s="82">
        <v>1400</v>
      </c>
      <c r="N157" s="82">
        <v>1400</v>
      </c>
      <c r="O157" s="92"/>
    </row>
    <row r="158" spans="1:15" s="93" customFormat="1" ht="22.5" x14ac:dyDescent="0.2">
      <c r="A158" s="79"/>
      <c r="B158" s="79"/>
      <c r="C158" s="79"/>
      <c r="D158" s="79"/>
      <c r="E158" s="79"/>
      <c r="F158" s="79">
        <v>3751</v>
      </c>
      <c r="G158" s="95" t="s">
        <v>232</v>
      </c>
      <c r="H158" s="84">
        <v>5000</v>
      </c>
      <c r="I158" s="82">
        <v>-5000</v>
      </c>
      <c r="J158" s="82">
        <f t="shared" si="46"/>
        <v>0</v>
      </c>
      <c r="K158" s="82">
        <v>0</v>
      </c>
      <c r="L158" s="82">
        <v>0</v>
      </c>
      <c r="M158" s="82">
        <v>0</v>
      </c>
      <c r="N158" s="82">
        <v>0</v>
      </c>
      <c r="O158" s="92"/>
    </row>
    <row r="159" spans="1:15" s="93" customFormat="1" x14ac:dyDescent="0.2">
      <c r="A159" s="79"/>
      <c r="B159" s="79"/>
      <c r="C159" s="79"/>
      <c r="D159" s="79"/>
      <c r="E159" s="79"/>
      <c r="F159" s="79">
        <v>3981</v>
      </c>
      <c r="G159" s="83" t="s">
        <v>237</v>
      </c>
      <c r="H159" s="84">
        <v>15014.28</v>
      </c>
      <c r="I159" s="82">
        <v>0</v>
      </c>
      <c r="J159" s="82">
        <f t="shared" si="46"/>
        <v>15014.28</v>
      </c>
      <c r="K159" s="82">
        <v>0</v>
      </c>
      <c r="L159" s="82">
        <v>10726.97</v>
      </c>
      <c r="M159" s="82">
        <v>10726.97</v>
      </c>
      <c r="N159" s="82">
        <v>10726.97</v>
      </c>
      <c r="O159" s="92"/>
    </row>
    <row r="160" spans="1:15" s="93" customFormat="1" x14ac:dyDescent="0.2">
      <c r="A160" s="79" t="s">
        <v>181</v>
      </c>
      <c r="B160" s="79" t="s">
        <v>258</v>
      </c>
      <c r="C160" s="79">
        <v>4</v>
      </c>
      <c r="D160" s="79" t="s">
        <v>259</v>
      </c>
      <c r="E160" s="79" t="s">
        <v>184</v>
      </c>
      <c r="F160" s="79">
        <v>3381</v>
      </c>
      <c r="G160" s="83" t="s">
        <v>195</v>
      </c>
      <c r="H160" s="84">
        <v>555408</v>
      </c>
      <c r="I160" s="82">
        <v>0</v>
      </c>
      <c r="J160" s="82">
        <f t="shared" si="46"/>
        <v>555408</v>
      </c>
      <c r="K160" s="82">
        <v>0</v>
      </c>
      <c r="L160" s="82">
        <v>231670</v>
      </c>
      <c r="M160" s="82">
        <v>231670</v>
      </c>
      <c r="N160" s="82">
        <v>231670</v>
      </c>
      <c r="O160" s="92"/>
    </row>
    <row r="161" spans="1:15" s="93" customFormat="1" x14ac:dyDescent="0.2">
      <c r="A161" s="79"/>
      <c r="B161" s="79"/>
      <c r="C161" s="79"/>
      <c r="D161" s="79"/>
      <c r="E161" s="79"/>
      <c r="F161" s="79">
        <v>3511</v>
      </c>
      <c r="G161" s="83" t="s">
        <v>198</v>
      </c>
      <c r="H161" s="84">
        <v>220000</v>
      </c>
      <c r="I161" s="82">
        <v>-220000</v>
      </c>
      <c r="J161" s="82">
        <f t="shared" si="46"/>
        <v>0</v>
      </c>
      <c r="K161" s="82">
        <v>0</v>
      </c>
      <c r="L161" s="82">
        <v>0</v>
      </c>
      <c r="M161" s="82">
        <v>0</v>
      </c>
      <c r="N161" s="82">
        <v>0</v>
      </c>
      <c r="O161" s="92"/>
    </row>
    <row r="162" spans="1:15" s="93" customFormat="1" x14ac:dyDescent="0.2">
      <c r="A162" s="79" t="s">
        <v>181</v>
      </c>
      <c r="B162" s="79" t="s">
        <v>258</v>
      </c>
      <c r="C162" s="79">
        <v>4</v>
      </c>
      <c r="D162" s="79" t="s">
        <v>259</v>
      </c>
      <c r="E162" s="79" t="s">
        <v>184</v>
      </c>
      <c r="F162" s="79">
        <v>5411</v>
      </c>
      <c r="G162" s="83" t="s">
        <v>272</v>
      </c>
      <c r="H162" s="84">
        <v>185000</v>
      </c>
      <c r="I162" s="82">
        <v>0</v>
      </c>
      <c r="J162" s="82">
        <f t="shared" si="46"/>
        <v>185000</v>
      </c>
      <c r="K162" s="82">
        <v>0</v>
      </c>
      <c r="L162" s="82">
        <v>0</v>
      </c>
      <c r="M162" s="82">
        <v>0</v>
      </c>
      <c r="N162" s="82">
        <v>0</v>
      </c>
      <c r="O162" s="92"/>
    </row>
    <row r="163" spans="1:15" s="93" customFormat="1" x14ac:dyDescent="0.2">
      <c r="A163" s="79"/>
      <c r="B163" s="79"/>
      <c r="C163" s="79"/>
      <c r="D163" s="79"/>
      <c r="E163" s="79"/>
      <c r="F163" s="79">
        <v>5671</v>
      </c>
      <c r="G163" s="85" t="s">
        <v>273</v>
      </c>
      <c r="H163" s="84">
        <v>20000</v>
      </c>
      <c r="I163" s="82">
        <v>0</v>
      </c>
      <c r="J163" s="82">
        <f t="shared" si="46"/>
        <v>20000</v>
      </c>
      <c r="K163" s="82">
        <v>0</v>
      </c>
      <c r="L163" s="82">
        <v>4700</v>
      </c>
      <c r="M163" s="82">
        <v>4700</v>
      </c>
      <c r="N163" s="82">
        <v>4700</v>
      </c>
      <c r="O163" s="92"/>
    </row>
    <row r="164" spans="1:15" s="93" customFormat="1" x14ac:dyDescent="0.2">
      <c r="A164" s="79"/>
      <c r="B164" s="79"/>
      <c r="C164" s="79"/>
      <c r="D164" s="79"/>
      <c r="E164" s="79"/>
      <c r="F164" s="79"/>
      <c r="G164" s="79"/>
      <c r="H164" s="79"/>
      <c r="I164" s="79"/>
      <c r="J164" s="79"/>
      <c r="K164" s="82"/>
      <c r="L164" s="82"/>
      <c r="M164" s="82"/>
      <c r="N164" s="82"/>
      <c r="O164" s="92"/>
    </row>
    <row r="165" spans="1:15" s="93" customFormat="1" x14ac:dyDescent="0.2">
      <c r="A165" s="80"/>
      <c r="B165" s="80"/>
      <c r="C165" s="80"/>
      <c r="D165" s="80"/>
      <c r="E165" s="80"/>
      <c r="F165" s="80"/>
      <c r="G165" s="80" t="s">
        <v>274</v>
      </c>
      <c r="H165" s="81">
        <f t="shared" ref="H165:L165" si="49">SUM(H166:H176)</f>
        <v>161939</v>
      </c>
      <c r="I165" s="81">
        <f t="shared" si="49"/>
        <v>-99269.890000000014</v>
      </c>
      <c r="J165" s="81">
        <f t="shared" si="49"/>
        <v>62669.11</v>
      </c>
      <c r="K165" s="81">
        <f t="shared" si="49"/>
        <v>0</v>
      </c>
      <c r="L165" s="81">
        <f t="shared" si="49"/>
        <v>41290.840000000004</v>
      </c>
      <c r="M165" s="81">
        <f t="shared" ref="M165:N165" si="50">SUM(M166:M176)</f>
        <v>41290.840000000004</v>
      </c>
      <c r="N165" s="81">
        <f t="shared" si="50"/>
        <v>41290.840000000004</v>
      </c>
      <c r="O165" s="92"/>
    </row>
    <row r="166" spans="1:15" s="93" customFormat="1" x14ac:dyDescent="0.2">
      <c r="A166" s="79" t="s">
        <v>181</v>
      </c>
      <c r="B166" s="79" t="s">
        <v>275</v>
      </c>
      <c r="C166" s="79">
        <v>1</v>
      </c>
      <c r="D166" s="79" t="s">
        <v>259</v>
      </c>
      <c r="E166" s="79" t="s">
        <v>186</v>
      </c>
      <c r="F166" s="79">
        <v>1131</v>
      </c>
      <c r="G166" s="83" t="s">
        <v>207</v>
      </c>
      <c r="H166" s="84">
        <v>79116</v>
      </c>
      <c r="I166" s="82">
        <v>-46151</v>
      </c>
      <c r="J166" s="82">
        <f t="shared" ref="J166:J176" si="51">+H166+I166</f>
        <v>32965</v>
      </c>
      <c r="K166" s="82">
        <v>0</v>
      </c>
      <c r="L166" s="82">
        <v>30766.81</v>
      </c>
      <c r="M166" s="82">
        <v>30766.81</v>
      </c>
      <c r="N166" s="82">
        <v>30766.81</v>
      </c>
      <c r="O166" s="92"/>
    </row>
    <row r="167" spans="1:15" s="93" customFormat="1" x14ac:dyDescent="0.2">
      <c r="A167" s="79"/>
      <c r="B167" s="79"/>
      <c r="C167" s="79"/>
      <c r="D167" s="79"/>
      <c r="E167" s="79"/>
      <c r="F167" s="79">
        <v>1321</v>
      </c>
      <c r="G167" s="83" t="s">
        <v>208</v>
      </c>
      <c r="H167" s="89">
        <v>2043.83</v>
      </c>
      <c r="I167" s="82">
        <v>-1412.83</v>
      </c>
      <c r="J167" s="82">
        <f t="shared" si="51"/>
        <v>631</v>
      </c>
      <c r="K167" s="82">
        <v>0</v>
      </c>
      <c r="L167" s="82">
        <v>631</v>
      </c>
      <c r="M167" s="82">
        <v>631</v>
      </c>
      <c r="N167" s="82">
        <v>631</v>
      </c>
      <c r="O167" s="92"/>
    </row>
    <row r="168" spans="1:15" s="93" customFormat="1" x14ac:dyDescent="0.2">
      <c r="A168" s="79"/>
      <c r="B168" s="79"/>
      <c r="C168" s="79"/>
      <c r="D168" s="79"/>
      <c r="E168" s="79"/>
      <c r="F168" s="79">
        <v>1323</v>
      </c>
      <c r="G168" s="83" t="s">
        <v>209</v>
      </c>
      <c r="H168" s="84">
        <v>10988.33</v>
      </c>
      <c r="I168" s="82">
        <v>-6483.33</v>
      </c>
      <c r="J168" s="82">
        <f t="shared" si="51"/>
        <v>4505</v>
      </c>
      <c r="K168" s="82">
        <v>0</v>
      </c>
      <c r="L168" s="82">
        <v>0</v>
      </c>
      <c r="M168" s="82">
        <f t="shared" ref="M168:N168" si="52">+N168</f>
        <v>0</v>
      </c>
      <c r="N168" s="82">
        <f t="shared" si="52"/>
        <v>0</v>
      </c>
      <c r="O168" s="92"/>
    </row>
    <row r="169" spans="1:15" s="93" customFormat="1" x14ac:dyDescent="0.2">
      <c r="A169" s="79"/>
      <c r="B169" s="79"/>
      <c r="C169" s="79"/>
      <c r="D169" s="79"/>
      <c r="E169" s="79"/>
      <c r="F169" s="79">
        <v>1413</v>
      </c>
      <c r="G169" s="83" t="s">
        <v>189</v>
      </c>
      <c r="H169" s="84">
        <v>10687.44</v>
      </c>
      <c r="I169" s="82">
        <v>-6234.33</v>
      </c>
      <c r="J169" s="82">
        <f t="shared" si="51"/>
        <v>4453.1100000000006</v>
      </c>
      <c r="K169" s="82">
        <v>0</v>
      </c>
      <c r="L169" s="82">
        <v>4051.1</v>
      </c>
      <c r="M169" s="82">
        <v>4051.1</v>
      </c>
      <c r="N169" s="82">
        <v>4051.1</v>
      </c>
      <c r="O169" s="92"/>
    </row>
    <row r="170" spans="1:15" s="93" customFormat="1" x14ac:dyDescent="0.2">
      <c r="A170" s="79"/>
      <c r="B170" s="79"/>
      <c r="C170" s="79"/>
      <c r="D170" s="79"/>
      <c r="E170" s="79"/>
      <c r="F170" s="79">
        <v>1421</v>
      </c>
      <c r="G170" s="83" t="s">
        <v>190</v>
      </c>
      <c r="H170" s="84">
        <v>4751.76</v>
      </c>
      <c r="I170" s="82">
        <v>-2951.76</v>
      </c>
      <c r="J170" s="82">
        <f t="shared" si="51"/>
        <v>1800</v>
      </c>
      <c r="K170" s="82">
        <v>0</v>
      </c>
      <c r="L170" s="82">
        <v>1532.82</v>
      </c>
      <c r="M170" s="82">
        <v>1532.82</v>
      </c>
      <c r="N170" s="82">
        <v>1532.82</v>
      </c>
      <c r="O170" s="92"/>
    </row>
    <row r="171" spans="1:15" s="93" customFormat="1" x14ac:dyDescent="0.2">
      <c r="A171" s="79"/>
      <c r="B171" s="79"/>
      <c r="C171" s="79"/>
      <c r="D171" s="79"/>
      <c r="E171" s="79"/>
      <c r="F171" s="79">
        <v>1431</v>
      </c>
      <c r="G171" s="83" t="s">
        <v>191</v>
      </c>
      <c r="H171" s="84">
        <v>4894.32</v>
      </c>
      <c r="I171" s="82">
        <v>-2854.32</v>
      </c>
      <c r="J171" s="82">
        <f t="shared" si="51"/>
        <v>2039.9999999999995</v>
      </c>
      <c r="K171" s="82">
        <v>0</v>
      </c>
      <c r="L171" s="82">
        <v>1578.8</v>
      </c>
      <c r="M171" s="82">
        <v>1578.8</v>
      </c>
      <c r="N171" s="82">
        <v>1578.8</v>
      </c>
      <c r="O171" s="92"/>
    </row>
    <row r="172" spans="1:15" s="93" customFormat="1" x14ac:dyDescent="0.2">
      <c r="A172" s="79"/>
      <c r="B172" s="79"/>
      <c r="C172" s="79"/>
      <c r="D172" s="79"/>
      <c r="E172" s="79"/>
      <c r="F172" s="79">
        <v>1511</v>
      </c>
      <c r="G172" s="83" t="s">
        <v>210</v>
      </c>
      <c r="H172" s="84">
        <v>1582.32</v>
      </c>
      <c r="I172" s="82">
        <v>-967.32</v>
      </c>
      <c r="J172" s="82">
        <f>+H172+I172</f>
        <v>614.99999999999989</v>
      </c>
      <c r="K172" s="82">
        <v>0</v>
      </c>
      <c r="L172" s="82">
        <v>615</v>
      </c>
      <c r="M172" s="82">
        <v>615</v>
      </c>
      <c r="N172" s="82">
        <v>615</v>
      </c>
      <c r="O172" s="92"/>
    </row>
    <row r="173" spans="1:15" s="93" customFormat="1" x14ac:dyDescent="0.2">
      <c r="A173" s="79" t="s">
        <v>181</v>
      </c>
      <c r="B173" s="79" t="s">
        <v>275</v>
      </c>
      <c r="C173" s="79">
        <v>1</v>
      </c>
      <c r="D173" s="79" t="s">
        <v>259</v>
      </c>
      <c r="E173" s="79" t="s">
        <v>184</v>
      </c>
      <c r="F173" s="79">
        <v>2221</v>
      </c>
      <c r="G173" s="83" t="s">
        <v>276</v>
      </c>
      <c r="H173" s="84">
        <v>30000</v>
      </c>
      <c r="I173" s="82">
        <v>-26000</v>
      </c>
      <c r="J173" s="82">
        <f t="shared" si="51"/>
        <v>4000</v>
      </c>
      <c r="K173" s="82">
        <v>0</v>
      </c>
      <c r="L173" s="82">
        <v>1500</v>
      </c>
      <c r="M173" s="82">
        <v>1500</v>
      </c>
      <c r="N173" s="82">
        <v>1500</v>
      </c>
      <c r="O173" s="92"/>
    </row>
    <row r="174" spans="1:15" s="93" customFormat="1" x14ac:dyDescent="0.2">
      <c r="A174" s="79"/>
      <c r="B174" s="79"/>
      <c r="C174" s="79"/>
      <c r="D174" s="79"/>
      <c r="E174" s="79"/>
      <c r="F174" s="79">
        <v>2491</v>
      </c>
      <c r="G174" s="83" t="s">
        <v>264</v>
      </c>
      <c r="H174" s="84">
        <v>10000</v>
      </c>
      <c r="I174" s="82">
        <v>-5000</v>
      </c>
      <c r="J174" s="82">
        <f t="shared" si="51"/>
        <v>5000</v>
      </c>
      <c r="K174" s="82">
        <v>0</v>
      </c>
      <c r="L174" s="82">
        <v>0</v>
      </c>
      <c r="M174" s="82">
        <v>0</v>
      </c>
      <c r="N174" s="82">
        <v>0</v>
      </c>
      <c r="O174" s="92"/>
    </row>
    <row r="175" spans="1:15" s="93" customFormat="1" x14ac:dyDescent="0.2">
      <c r="A175" s="79"/>
      <c r="B175" s="79"/>
      <c r="C175" s="79"/>
      <c r="D175" s="79"/>
      <c r="E175" s="79"/>
      <c r="F175" s="79">
        <v>3591</v>
      </c>
      <c r="G175" s="83" t="s">
        <v>271</v>
      </c>
      <c r="H175" s="84">
        <v>6000</v>
      </c>
      <c r="I175" s="82">
        <v>0</v>
      </c>
      <c r="J175" s="82">
        <f t="shared" si="51"/>
        <v>6000</v>
      </c>
      <c r="K175" s="82">
        <v>0</v>
      </c>
      <c r="L175" s="82">
        <v>0</v>
      </c>
      <c r="M175" s="82">
        <v>0</v>
      </c>
      <c r="N175" s="82">
        <v>0</v>
      </c>
      <c r="O175" s="92"/>
    </row>
    <row r="176" spans="1:15" s="93" customFormat="1" x14ac:dyDescent="0.2">
      <c r="A176" s="79"/>
      <c r="B176" s="79"/>
      <c r="C176" s="79"/>
      <c r="D176" s="79"/>
      <c r="E176" s="79"/>
      <c r="F176" s="79">
        <v>3981</v>
      </c>
      <c r="G176" s="83" t="s">
        <v>237</v>
      </c>
      <c r="H176" s="84">
        <v>1875</v>
      </c>
      <c r="I176" s="82">
        <v>-1215</v>
      </c>
      <c r="J176" s="82">
        <f t="shared" si="51"/>
        <v>660</v>
      </c>
      <c r="K176" s="82">
        <v>0</v>
      </c>
      <c r="L176" s="82">
        <v>615.30999999999995</v>
      </c>
      <c r="M176" s="82">
        <v>615.30999999999995</v>
      </c>
      <c r="N176" s="82">
        <v>615.30999999999995</v>
      </c>
      <c r="O176" s="92"/>
    </row>
    <row r="177" spans="1:6" s="93" customFormat="1" x14ac:dyDescent="0.2">
      <c r="A177" s="94"/>
      <c r="B177" s="94"/>
      <c r="C177" s="94"/>
      <c r="D177" s="94"/>
      <c r="E177" s="94"/>
      <c r="F177" s="94"/>
    </row>
    <row r="178" spans="1:6" s="93" customFormat="1" x14ac:dyDescent="0.2">
      <c r="A178" s="94"/>
      <c r="B178" s="94"/>
      <c r="C178" s="94"/>
      <c r="D178" s="94"/>
      <c r="E178" s="94"/>
      <c r="F178" s="94"/>
    </row>
    <row r="179" spans="1:6" s="93" customFormat="1" x14ac:dyDescent="0.2">
      <c r="A179" s="94"/>
      <c r="B179" s="94"/>
      <c r="C179" s="94"/>
      <c r="D179" s="94"/>
      <c r="E179" s="94"/>
      <c r="F179" s="94"/>
    </row>
    <row r="180" spans="1:6" s="93" customFormat="1" x14ac:dyDescent="0.2">
      <c r="A180" s="94"/>
      <c r="B180" s="94"/>
      <c r="C180" s="94"/>
      <c r="D180" s="94"/>
      <c r="E180" s="94"/>
      <c r="F180" s="94"/>
    </row>
    <row r="181" spans="1:6" s="93" customFormat="1" x14ac:dyDescent="0.2">
      <c r="A181" s="94"/>
      <c r="B181" s="94"/>
      <c r="C181" s="94"/>
      <c r="D181" s="94"/>
      <c r="E181" s="94"/>
      <c r="F181" s="94"/>
    </row>
    <row r="182" spans="1:6" s="93" customFormat="1" x14ac:dyDescent="0.2">
      <c r="A182" s="94"/>
      <c r="B182" s="94"/>
      <c r="C182" s="94"/>
      <c r="D182" s="94"/>
      <c r="E182" s="94"/>
      <c r="F182" s="94"/>
    </row>
    <row r="183" spans="1:6" s="93" customFormat="1" x14ac:dyDescent="0.2">
      <c r="A183" s="94"/>
      <c r="B183" s="94"/>
      <c r="C183" s="94"/>
      <c r="D183" s="94"/>
      <c r="E183" s="94"/>
      <c r="F183" s="94"/>
    </row>
    <row r="184" spans="1:6" s="93" customFormat="1" x14ac:dyDescent="0.2">
      <c r="A184" s="94"/>
      <c r="B184" s="94"/>
      <c r="C184" s="94"/>
      <c r="D184" s="94"/>
      <c r="E184" s="94"/>
      <c r="F184" s="94"/>
    </row>
    <row r="185" spans="1:6" s="93" customFormat="1" x14ac:dyDescent="0.2">
      <c r="A185" s="94"/>
      <c r="B185" s="94"/>
      <c r="C185" s="94"/>
      <c r="D185" s="94"/>
      <c r="E185" s="94"/>
      <c r="F185" s="94"/>
    </row>
    <row r="186" spans="1:6" s="93" customFormat="1" x14ac:dyDescent="0.2">
      <c r="A186" s="94"/>
      <c r="B186" s="94"/>
      <c r="C186" s="94"/>
      <c r="D186" s="94"/>
      <c r="E186" s="94"/>
      <c r="F186" s="94"/>
    </row>
    <row r="187" spans="1:6" s="93" customFormat="1" x14ac:dyDescent="0.2">
      <c r="A187" s="94"/>
      <c r="B187" s="94"/>
      <c r="C187" s="94"/>
      <c r="D187" s="94"/>
      <c r="E187" s="94"/>
      <c r="F187" s="94"/>
    </row>
    <row r="188" spans="1:6" s="93" customFormat="1" x14ac:dyDescent="0.2">
      <c r="A188" s="94"/>
      <c r="B188" s="94"/>
      <c r="C188" s="94"/>
      <c r="D188" s="94"/>
      <c r="E188" s="94"/>
      <c r="F188" s="94"/>
    </row>
    <row r="189" spans="1:6" s="93" customFormat="1" x14ac:dyDescent="0.2">
      <c r="A189" s="94"/>
      <c r="B189" s="94"/>
      <c r="C189" s="94"/>
      <c r="D189" s="94"/>
      <c r="E189" s="94"/>
      <c r="F189" s="94"/>
    </row>
    <row r="190" spans="1:6" s="93" customFormat="1" x14ac:dyDescent="0.2">
      <c r="A190" s="94"/>
      <c r="B190" s="94"/>
      <c r="C190" s="94"/>
      <c r="D190" s="94"/>
      <c r="E190" s="94"/>
      <c r="F190" s="94"/>
    </row>
    <row r="191" spans="1:6" s="93" customFormat="1" x14ac:dyDescent="0.2">
      <c r="A191" s="94"/>
      <c r="B191" s="94"/>
      <c r="C191" s="94"/>
      <c r="D191" s="94"/>
      <c r="E191" s="94"/>
      <c r="F191" s="94"/>
    </row>
    <row r="192" spans="1:6" s="93" customFormat="1" x14ac:dyDescent="0.2">
      <c r="A192" s="94"/>
      <c r="B192" s="94"/>
      <c r="C192" s="94"/>
      <c r="D192" s="94"/>
      <c r="E192" s="94"/>
      <c r="F192" s="94"/>
    </row>
    <row r="193" spans="1:6" s="93" customFormat="1" x14ac:dyDescent="0.2">
      <c r="A193" s="94"/>
      <c r="B193" s="94"/>
      <c r="C193" s="94"/>
      <c r="D193" s="94"/>
      <c r="E193" s="94"/>
      <c r="F193" s="94"/>
    </row>
    <row r="194" spans="1:6" s="93" customFormat="1" x14ac:dyDescent="0.2">
      <c r="A194" s="94"/>
      <c r="B194" s="94"/>
      <c r="C194" s="94"/>
      <c r="D194" s="94"/>
      <c r="E194" s="94"/>
      <c r="F194" s="94"/>
    </row>
    <row r="195" spans="1:6" s="93" customFormat="1" x14ac:dyDescent="0.2">
      <c r="A195" s="94"/>
      <c r="B195" s="94"/>
      <c r="C195" s="94"/>
      <c r="D195" s="94"/>
      <c r="E195" s="94"/>
      <c r="F195" s="94"/>
    </row>
    <row r="196" spans="1:6" s="93" customFormat="1" x14ac:dyDescent="0.2">
      <c r="A196" s="94"/>
      <c r="B196" s="94"/>
      <c r="C196" s="94"/>
      <c r="D196" s="94"/>
      <c r="E196" s="94"/>
      <c r="F196" s="94"/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11811023622047245" right="0.11811023622047245" top="0.15748031496062992" bottom="0.15748031496062992" header="0.31496062992125984" footer="0.31496062992125984"/>
  <pageSetup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147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135</v>
      </c>
    </row>
    <row r="12" spans="1:1" x14ac:dyDescent="0.2">
      <c r="A12" s="52" t="s">
        <v>136</v>
      </c>
    </row>
    <row r="13" spans="1:1" x14ac:dyDescent="0.2">
      <c r="A13" s="52"/>
    </row>
    <row r="14" spans="1:1" x14ac:dyDescent="0.2">
      <c r="A14" s="34" t="s">
        <v>134</v>
      </c>
    </row>
    <row r="15" spans="1:1" ht="39.950000000000003" customHeight="1" x14ac:dyDescent="0.2">
      <c r="A15" s="53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31" customWidth="1"/>
    <col min="2" max="2" width="91.66406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108" t="s">
        <v>177</v>
      </c>
      <c r="B1" s="109"/>
      <c r="C1" s="109"/>
      <c r="D1" s="109"/>
      <c r="E1" s="109"/>
      <c r="F1" s="109"/>
      <c r="G1" s="109"/>
      <c r="H1" s="110"/>
    </row>
    <row r="2" spans="1:8" ht="24.95" customHeight="1" x14ac:dyDescent="0.2">
      <c r="A2" s="50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23">
        <v>21110</v>
      </c>
      <c r="B4" s="24" t="s">
        <v>57</v>
      </c>
      <c r="C4" s="17">
        <f t="shared" ref="C4:H4" si="1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23">
        <v>21111</v>
      </c>
      <c r="B5" s="25" t="s">
        <v>23</v>
      </c>
      <c r="C5" s="19"/>
      <c r="D5" s="19"/>
      <c r="E5" s="19"/>
      <c r="F5" s="19"/>
      <c r="G5" s="19"/>
      <c r="H5" s="20"/>
    </row>
    <row r="6" spans="1:8" x14ac:dyDescent="0.2">
      <c r="A6" s="23">
        <v>21112</v>
      </c>
      <c r="B6" s="25" t="s">
        <v>24</v>
      </c>
      <c r="C6" s="19"/>
      <c r="D6" s="19"/>
      <c r="E6" s="19"/>
      <c r="F6" s="19"/>
      <c r="G6" s="19"/>
      <c r="H6" s="20"/>
    </row>
    <row r="7" spans="1:8" x14ac:dyDescent="0.2">
      <c r="A7" s="23">
        <v>21113</v>
      </c>
      <c r="B7" s="25" t="s">
        <v>25</v>
      </c>
      <c r="C7" s="19"/>
      <c r="D7" s="19"/>
      <c r="E7" s="19"/>
      <c r="F7" s="19"/>
      <c r="G7" s="19"/>
      <c r="H7" s="20"/>
    </row>
    <row r="8" spans="1:8" x14ac:dyDescent="0.2">
      <c r="A8" s="23">
        <v>21114</v>
      </c>
      <c r="B8" s="25" t="s">
        <v>26</v>
      </c>
      <c r="C8" s="19"/>
      <c r="D8" s="19"/>
      <c r="E8" s="19"/>
      <c r="F8" s="19"/>
      <c r="G8" s="19"/>
      <c r="H8" s="20"/>
    </row>
    <row r="9" spans="1:8" x14ac:dyDescent="0.2">
      <c r="A9" s="28">
        <v>900002</v>
      </c>
      <c r="B9" s="24" t="s">
        <v>44</v>
      </c>
      <c r="C9" s="17">
        <f t="shared" ref="C9:H9" si="2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x14ac:dyDescent="0.2">
      <c r="A10" s="23">
        <v>21120</v>
      </c>
      <c r="B10" s="25" t="s">
        <v>28</v>
      </c>
      <c r="C10" s="19"/>
      <c r="D10" s="19"/>
      <c r="E10" s="19"/>
      <c r="F10" s="19"/>
      <c r="G10" s="19"/>
      <c r="H10" s="20"/>
    </row>
    <row r="11" spans="1:8" x14ac:dyDescent="0.2">
      <c r="A11" s="23">
        <v>21130</v>
      </c>
      <c r="B11" s="25" t="s">
        <v>27</v>
      </c>
      <c r="C11" s="19"/>
      <c r="D11" s="19"/>
      <c r="E11" s="19"/>
      <c r="F11" s="19"/>
      <c r="G11" s="19"/>
      <c r="H11" s="20"/>
    </row>
    <row r="12" spans="1:8" x14ac:dyDescent="0.2">
      <c r="A12" s="23">
        <v>21210</v>
      </c>
      <c r="B12" s="25" t="s">
        <v>29</v>
      </c>
      <c r="C12" s="19"/>
      <c r="D12" s="19"/>
      <c r="E12" s="19"/>
      <c r="F12" s="19"/>
      <c r="G12" s="19"/>
      <c r="H12" s="20"/>
    </row>
    <row r="13" spans="1:8" x14ac:dyDescent="0.2">
      <c r="A13" s="23">
        <v>21220</v>
      </c>
      <c r="B13" s="25" t="s">
        <v>42</v>
      </c>
      <c r="C13" s="19"/>
      <c r="D13" s="19"/>
      <c r="E13" s="19"/>
      <c r="F13" s="19"/>
      <c r="G13" s="19"/>
      <c r="H13" s="20"/>
    </row>
    <row r="14" spans="1:8" x14ac:dyDescent="0.2">
      <c r="A14" s="23">
        <v>22200</v>
      </c>
      <c r="B14" s="25" t="s">
        <v>43</v>
      </c>
      <c r="C14" s="19"/>
      <c r="D14" s="19"/>
      <c r="E14" s="19"/>
      <c r="F14" s="19"/>
      <c r="G14" s="19"/>
      <c r="H14" s="20"/>
    </row>
    <row r="15" spans="1:8" x14ac:dyDescent="0.2">
      <c r="A15" s="29">
        <v>22300</v>
      </c>
      <c r="B15" s="30" t="s">
        <v>58</v>
      </c>
      <c r="C15" s="19"/>
      <c r="D15" s="19"/>
      <c r="E15" s="19"/>
      <c r="F15" s="19"/>
      <c r="G15" s="19"/>
      <c r="H15" s="20"/>
    </row>
    <row r="16" spans="1:8" x14ac:dyDescent="0.2">
      <c r="A16" s="26">
        <v>22400</v>
      </c>
      <c r="B16" s="27" t="s">
        <v>30</v>
      </c>
      <c r="C16" s="21"/>
      <c r="D16" s="21"/>
      <c r="E16" s="21"/>
      <c r="F16" s="21"/>
      <c r="G16" s="21"/>
      <c r="H16" s="22"/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ignoredErrors>
    <ignoredError sqref="C3:D3 E5:E8 E4 E9 E3 D4 C5:D8 C4 C9:D9 G5:H8 G4:H4 G9:H9 G3:H3 F5:F8 F4 F9 F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3" sqref="A13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/>
    </row>
    <row r="3" spans="1:1" x14ac:dyDescent="0.2">
      <c r="A3" s="52" t="s">
        <v>161</v>
      </c>
    </row>
    <row r="4" spans="1:1" x14ac:dyDescent="0.2">
      <c r="A4" s="52" t="s">
        <v>150</v>
      </c>
    </row>
    <row r="5" spans="1:1" x14ac:dyDescent="0.2">
      <c r="A5" s="52" t="s">
        <v>151</v>
      </c>
    </row>
    <row r="6" spans="1:1" x14ac:dyDescent="0.2">
      <c r="A6" s="52" t="s">
        <v>152</v>
      </c>
    </row>
    <row r="7" spans="1:1" ht="22.5" x14ac:dyDescent="0.2">
      <c r="A7" s="52" t="s">
        <v>153</v>
      </c>
    </row>
    <row r="8" spans="1:1" ht="33.75" x14ac:dyDescent="0.2">
      <c r="A8" s="52" t="s">
        <v>155</v>
      </c>
    </row>
    <row r="9" spans="1:1" ht="22.5" x14ac:dyDescent="0.2">
      <c r="A9" s="52" t="s">
        <v>157</v>
      </c>
    </row>
    <row r="10" spans="1:1" x14ac:dyDescent="0.2">
      <c r="A10" s="52" t="s">
        <v>158</v>
      </c>
    </row>
    <row r="11" spans="1:1" x14ac:dyDescent="0.2">
      <c r="A11" s="52"/>
    </row>
    <row r="12" spans="1:1" x14ac:dyDescent="0.2">
      <c r="A12" s="34" t="s">
        <v>132</v>
      </c>
    </row>
    <row r="13" spans="1:1" x14ac:dyDescent="0.2">
      <c r="A13" s="52" t="s">
        <v>133</v>
      </c>
    </row>
    <row r="14" spans="1:1" ht="11.25" customHeight="1" x14ac:dyDescent="0.2">
      <c r="A14" s="52"/>
    </row>
    <row r="15" spans="1:1" x14ac:dyDescent="0.2">
      <c r="A15" s="34" t="s">
        <v>135</v>
      </c>
    </row>
    <row r="16" spans="1:1" x14ac:dyDescent="0.2">
      <c r="A16" s="52" t="s">
        <v>136</v>
      </c>
    </row>
    <row r="17" spans="1:1" x14ac:dyDescent="0.2">
      <c r="A17" s="52"/>
    </row>
    <row r="18" spans="1:1" x14ac:dyDescent="0.2">
      <c r="A18" s="34" t="s">
        <v>134</v>
      </c>
    </row>
    <row r="19" spans="1:1" ht="39.950000000000003" customHeight="1" x14ac:dyDescent="0.2">
      <c r="A19" s="53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11" sqref="B11"/>
    </sheetView>
  </sheetViews>
  <sheetFormatPr baseColWidth="10" defaultRowHeight="11.25" x14ac:dyDescent="0.2"/>
  <cols>
    <col min="1" max="1" width="9.1640625" style="31" customWidth="1"/>
    <col min="2" max="2" width="85.83203125" style="31" bestFit="1" customWidth="1"/>
    <col min="3" max="8" width="18.33203125" style="31" customWidth="1"/>
    <col min="9" max="16384" width="12" style="31"/>
  </cols>
  <sheetData>
    <row r="1" spans="1:8" ht="50.1" customHeight="1" x14ac:dyDescent="0.2">
      <c r="A1" s="108" t="s">
        <v>177</v>
      </c>
      <c r="B1" s="109"/>
      <c r="C1" s="109"/>
      <c r="D1" s="109"/>
      <c r="E1" s="109"/>
      <c r="F1" s="109"/>
      <c r="G1" s="109"/>
      <c r="H1" s="110"/>
    </row>
    <row r="2" spans="1:8" ht="24.95" customHeight="1" x14ac:dyDescent="0.2">
      <c r="A2" s="50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C4+C6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12"/>
      <c r="B4" s="24" t="s">
        <v>56</v>
      </c>
      <c r="C4" s="17">
        <f t="shared" ref="C4:H4" si="1">+C5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12">
        <v>31111</v>
      </c>
      <c r="B5" s="13" t="s">
        <v>55</v>
      </c>
      <c r="C5" s="19"/>
      <c r="D5" s="19"/>
      <c r="E5" s="19"/>
      <c r="F5" s="19"/>
      <c r="G5" s="19"/>
      <c r="H5" s="20"/>
    </row>
    <row r="6" spans="1:8" x14ac:dyDescent="0.2">
      <c r="A6" s="12"/>
      <c r="B6" s="24" t="s">
        <v>44</v>
      </c>
      <c r="C6" s="17">
        <f t="shared" ref="C6:H6" si="2">SUM(C7:C12)</f>
        <v>0</v>
      </c>
      <c r="D6" s="17">
        <f t="shared" si="2"/>
        <v>0</v>
      </c>
      <c r="E6" s="17">
        <f t="shared" si="2"/>
        <v>0</v>
      </c>
      <c r="F6" s="17">
        <f t="shared" si="2"/>
        <v>0</v>
      </c>
      <c r="G6" s="17">
        <f t="shared" si="2"/>
        <v>0</v>
      </c>
      <c r="H6" s="18">
        <f t="shared" si="2"/>
        <v>0</v>
      </c>
    </row>
    <row r="7" spans="1:8" x14ac:dyDescent="0.2">
      <c r="A7" s="12">
        <v>31120</v>
      </c>
      <c r="B7" s="13" t="s">
        <v>28</v>
      </c>
      <c r="C7" s="19"/>
      <c r="D7" s="19"/>
      <c r="E7" s="19"/>
      <c r="F7" s="19"/>
      <c r="G7" s="19"/>
      <c r="H7" s="20"/>
    </row>
    <row r="8" spans="1:8" x14ac:dyDescent="0.2">
      <c r="A8" s="12">
        <v>31210</v>
      </c>
      <c r="B8" s="13" t="s">
        <v>45</v>
      </c>
      <c r="C8" s="19"/>
      <c r="D8" s="19"/>
      <c r="E8" s="19"/>
      <c r="F8" s="19"/>
      <c r="G8" s="19"/>
      <c r="H8" s="20"/>
    </row>
    <row r="9" spans="1:8" x14ac:dyDescent="0.2">
      <c r="A9" s="12">
        <v>31220</v>
      </c>
      <c r="B9" s="13" t="s">
        <v>46</v>
      </c>
      <c r="C9" s="19"/>
      <c r="D9" s="19"/>
      <c r="E9" s="19"/>
      <c r="F9" s="19"/>
      <c r="G9" s="19"/>
      <c r="H9" s="20"/>
    </row>
    <row r="10" spans="1:8" x14ac:dyDescent="0.2">
      <c r="A10" s="12">
        <v>32200</v>
      </c>
      <c r="B10" s="13" t="s">
        <v>53</v>
      </c>
      <c r="C10" s="19"/>
      <c r="D10" s="19"/>
      <c r="E10" s="19"/>
      <c r="F10" s="19"/>
      <c r="G10" s="19"/>
      <c r="H10" s="20"/>
    </row>
    <row r="11" spans="1:8" x14ac:dyDescent="0.2">
      <c r="A11" s="12">
        <v>32300</v>
      </c>
      <c r="B11" s="13" t="s">
        <v>54</v>
      </c>
      <c r="C11" s="19"/>
      <c r="D11" s="19"/>
      <c r="E11" s="19"/>
      <c r="F11" s="19"/>
      <c r="G11" s="19"/>
      <c r="H11" s="20"/>
    </row>
    <row r="12" spans="1:8" x14ac:dyDescent="0.2">
      <c r="A12" s="14">
        <v>32400</v>
      </c>
      <c r="B12" s="15" t="s">
        <v>30</v>
      </c>
      <c r="C12" s="21"/>
      <c r="D12" s="21"/>
      <c r="E12" s="21"/>
      <c r="F12" s="21"/>
      <c r="G12" s="21"/>
      <c r="H12" s="22"/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ignoredErrors>
    <ignoredError sqref="D3:E3 D6:E6 C5:E5 D4:E4 C3:C4 C6 G3:H3 G6:H6 G5:H5 G4:H4 F3 F6 F5 F4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161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15" activePane="bottomLeft" state="frozen"/>
      <selection pane="bottomLeft" sqref="A1:H1"/>
    </sheetView>
  </sheetViews>
  <sheetFormatPr baseColWidth="10" defaultRowHeight="11.25" x14ac:dyDescent="0.2"/>
  <cols>
    <col min="1" max="1" width="7.1640625" style="35" bestFit="1" customWidth="1"/>
    <col min="2" max="2" width="72.83203125" style="35" customWidth="1"/>
    <col min="3" max="8" width="18.33203125" style="35" customWidth="1"/>
    <col min="9" max="16384" width="12" style="35"/>
  </cols>
  <sheetData>
    <row r="1" spans="1:8" ht="50.1" customHeight="1" x14ac:dyDescent="0.2">
      <c r="A1" s="108" t="s">
        <v>364</v>
      </c>
      <c r="B1" s="109"/>
      <c r="C1" s="109"/>
      <c r="D1" s="109"/>
      <c r="E1" s="109"/>
      <c r="F1" s="109"/>
      <c r="G1" s="109"/>
      <c r="H1" s="110"/>
    </row>
    <row r="2" spans="1:8" ht="24.95" customHeight="1" x14ac:dyDescent="0.2">
      <c r="A2" s="40" t="s">
        <v>0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16" t="s">
        <v>12</v>
      </c>
      <c r="C3" s="10">
        <f>+C13</f>
        <v>85282391</v>
      </c>
      <c r="D3" s="10">
        <f t="shared" ref="D3:G3" si="0">+D13</f>
        <v>6368660</v>
      </c>
      <c r="E3" s="10">
        <f t="shared" si="0"/>
        <v>91651051</v>
      </c>
      <c r="F3" s="10">
        <f t="shared" si="0"/>
        <v>27279128.200000003</v>
      </c>
      <c r="G3" s="10">
        <f t="shared" si="0"/>
        <v>20473417.699999999</v>
      </c>
      <c r="H3" s="11">
        <v>0</v>
      </c>
    </row>
    <row r="4" spans="1:8" x14ac:dyDescent="0.2">
      <c r="A4" s="36">
        <v>1</v>
      </c>
      <c r="B4" s="37" t="s">
        <v>32</v>
      </c>
      <c r="C4" s="58">
        <v>0</v>
      </c>
      <c r="D4" s="58">
        <v>0</v>
      </c>
      <c r="E4" s="58">
        <v>0</v>
      </c>
      <c r="F4" s="58">
        <v>0</v>
      </c>
      <c r="G4" s="58">
        <v>0</v>
      </c>
      <c r="H4" s="59"/>
    </row>
    <row r="5" spans="1:8" x14ac:dyDescent="0.2">
      <c r="A5" s="38">
        <v>11</v>
      </c>
      <c r="B5" s="76" t="s">
        <v>166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9"/>
    </row>
    <row r="6" spans="1:8" x14ac:dyDescent="0.2">
      <c r="A6" s="38">
        <v>12</v>
      </c>
      <c r="B6" s="76" t="s">
        <v>33</v>
      </c>
      <c r="C6" s="58">
        <v>0</v>
      </c>
      <c r="D6" s="58">
        <v>0</v>
      </c>
      <c r="E6" s="58">
        <v>0</v>
      </c>
      <c r="F6" s="58">
        <v>0</v>
      </c>
      <c r="G6" s="58">
        <v>0</v>
      </c>
      <c r="H6" s="59"/>
    </row>
    <row r="7" spans="1:8" x14ac:dyDescent="0.2">
      <c r="A7" s="38">
        <v>13</v>
      </c>
      <c r="B7" s="76" t="s">
        <v>167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9"/>
    </row>
    <row r="8" spans="1:8" x14ac:dyDescent="0.2">
      <c r="A8" s="38">
        <v>14</v>
      </c>
      <c r="B8" s="76" t="s">
        <v>18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9"/>
    </row>
    <row r="9" spans="1:8" x14ac:dyDescent="0.2">
      <c r="A9" s="38">
        <v>15</v>
      </c>
      <c r="B9" s="76" t="s">
        <v>39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9"/>
    </row>
    <row r="10" spans="1:8" x14ac:dyDescent="0.2">
      <c r="A10" s="38">
        <v>16</v>
      </c>
      <c r="B10" s="76" t="s">
        <v>34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9"/>
    </row>
    <row r="11" spans="1:8" x14ac:dyDescent="0.2">
      <c r="A11" s="38">
        <v>17</v>
      </c>
      <c r="B11" s="76" t="s">
        <v>168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9"/>
    </row>
    <row r="12" spans="1:8" x14ac:dyDescent="0.2">
      <c r="A12" s="38">
        <v>18</v>
      </c>
      <c r="B12" s="76" t="s">
        <v>35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9"/>
    </row>
    <row r="13" spans="1:8" x14ac:dyDescent="0.2">
      <c r="A13" s="36">
        <v>2</v>
      </c>
      <c r="B13" s="37" t="s">
        <v>36</v>
      </c>
      <c r="C13" s="17">
        <f>+C17</f>
        <v>85282391</v>
      </c>
      <c r="D13" s="17">
        <f t="shared" ref="D13:G13" si="1">+D17</f>
        <v>6368660</v>
      </c>
      <c r="E13" s="17">
        <f t="shared" si="1"/>
        <v>91651051</v>
      </c>
      <c r="F13" s="17">
        <f t="shared" si="1"/>
        <v>27279128.200000003</v>
      </c>
      <c r="G13" s="17">
        <f t="shared" si="1"/>
        <v>20473417.699999999</v>
      </c>
      <c r="H13" s="59"/>
    </row>
    <row r="14" spans="1:8" x14ac:dyDescent="0.2">
      <c r="A14" s="38">
        <v>21</v>
      </c>
      <c r="B14" s="76" t="s">
        <v>169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9"/>
    </row>
    <row r="15" spans="1:8" x14ac:dyDescent="0.2">
      <c r="A15" s="38">
        <v>22</v>
      </c>
      <c r="B15" s="76" t="s">
        <v>47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9"/>
    </row>
    <row r="16" spans="1:8" x14ac:dyDescent="0.2">
      <c r="A16" s="38">
        <v>23</v>
      </c>
      <c r="B16" s="76" t="s">
        <v>37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9"/>
    </row>
    <row r="17" spans="1:8" x14ac:dyDescent="0.2">
      <c r="A17" s="38">
        <v>24</v>
      </c>
      <c r="B17" s="76" t="s">
        <v>170</v>
      </c>
      <c r="C17" s="58">
        <f>+EAEPE!H3</f>
        <v>85282391</v>
      </c>
      <c r="D17" s="58">
        <f>+EAEPE!I3+100000</f>
        <v>6368660</v>
      </c>
      <c r="E17" s="58">
        <f>+EAEPE!J3+100000</f>
        <v>91651051</v>
      </c>
      <c r="F17" s="58">
        <f>+Hoja1!F3</f>
        <v>27279128.200000003</v>
      </c>
      <c r="G17" s="58">
        <f>+Hoja1!G3</f>
        <v>20473417.699999999</v>
      </c>
      <c r="H17" s="59"/>
    </row>
    <row r="18" spans="1:8" x14ac:dyDescent="0.2">
      <c r="A18" s="38">
        <v>25</v>
      </c>
      <c r="B18" s="76" t="s">
        <v>171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9"/>
    </row>
    <row r="19" spans="1:8" x14ac:dyDescent="0.2">
      <c r="A19" s="38">
        <v>26</v>
      </c>
      <c r="B19" s="76" t="s">
        <v>172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9"/>
    </row>
    <row r="20" spans="1:8" x14ac:dyDescent="0.2">
      <c r="A20" s="38">
        <v>27</v>
      </c>
      <c r="B20" s="76" t="s">
        <v>19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9"/>
    </row>
    <row r="21" spans="1:8" x14ac:dyDescent="0.2">
      <c r="A21" s="36">
        <v>3</v>
      </c>
      <c r="B21" s="37" t="s">
        <v>173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9"/>
    </row>
    <row r="22" spans="1:8" x14ac:dyDescent="0.2">
      <c r="A22" s="38">
        <v>31</v>
      </c>
      <c r="B22" s="76" t="s">
        <v>48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9"/>
    </row>
    <row r="23" spans="1:8" x14ac:dyDescent="0.2">
      <c r="A23" s="38">
        <v>32</v>
      </c>
      <c r="B23" s="76" t="s">
        <v>40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9"/>
    </row>
    <row r="24" spans="1:8" x14ac:dyDescent="0.2">
      <c r="A24" s="38">
        <v>33</v>
      </c>
      <c r="B24" s="76" t="s">
        <v>49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9"/>
    </row>
    <row r="25" spans="1:8" x14ac:dyDescent="0.2">
      <c r="A25" s="38">
        <v>34</v>
      </c>
      <c r="B25" s="76" t="s">
        <v>174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9"/>
    </row>
    <row r="26" spans="1:8" x14ac:dyDescent="0.2">
      <c r="A26" s="38">
        <v>35</v>
      </c>
      <c r="B26" s="76" t="s">
        <v>38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9"/>
    </row>
    <row r="27" spans="1:8" x14ac:dyDescent="0.2">
      <c r="A27" s="38">
        <v>36</v>
      </c>
      <c r="B27" s="76" t="s">
        <v>20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9"/>
    </row>
    <row r="28" spans="1:8" x14ac:dyDescent="0.2">
      <c r="A28" s="38">
        <v>37</v>
      </c>
      <c r="B28" s="76" t="s">
        <v>21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9"/>
    </row>
    <row r="29" spans="1:8" x14ac:dyDescent="0.2">
      <c r="A29" s="38">
        <v>38</v>
      </c>
      <c r="B29" s="76" t="s">
        <v>175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59"/>
    </row>
    <row r="30" spans="1:8" x14ac:dyDescent="0.2">
      <c r="A30" s="38">
        <v>39</v>
      </c>
      <c r="B30" s="76" t="s">
        <v>50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9"/>
    </row>
    <row r="31" spans="1:8" x14ac:dyDescent="0.2">
      <c r="A31" s="36">
        <v>4</v>
      </c>
      <c r="B31" s="37" t="s">
        <v>51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9"/>
    </row>
    <row r="32" spans="1:8" x14ac:dyDescent="0.2">
      <c r="A32" s="38">
        <v>41</v>
      </c>
      <c r="B32" s="76" t="s">
        <v>176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9"/>
    </row>
    <row r="33" spans="1:8" ht="22.5" x14ac:dyDescent="0.2">
      <c r="A33" s="38">
        <v>42</v>
      </c>
      <c r="B33" s="76" t="s">
        <v>41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9"/>
    </row>
    <row r="34" spans="1:8" x14ac:dyDescent="0.2">
      <c r="A34" s="38">
        <v>43</v>
      </c>
      <c r="B34" s="76" t="s">
        <v>52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9"/>
    </row>
    <row r="35" spans="1:8" x14ac:dyDescent="0.2">
      <c r="A35" s="39">
        <v>44</v>
      </c>
      <c r="B35" s="77" t="s">
        <v>22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  <c r="H35" s="64"/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6" sqref="A16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160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5"/>
  <sheetViews>
    <sheetView workbookViewId="0">
      <selection activeCell="A5" sqref="A5"/>
    </sheetView>
  </sheetViews>
  <sheetFormatPr baseColWidth="10" defaultRowHeight="11.25" x14ac:dyDescent="0.2"/>
  <cols>
    <col min="1" max="1" width="4.83203125" style="55" customWidth="1"/>
    <col min="2" max="2" width="6.1640625" style="55" bestFit="1" customWidth="1"/>
    <col min="3" max="3" width="4.83203125" style="55" customWidth="1"/>
    <col min="4" max="4" width="10.83203125" style="55" bestFit="1" customWidth="1"/>
    <col min="5" max="5" width="9.1640625" style="55" customWidth="1"/>
    <col min="6" max="6" width="8.1640625" style="55" bestFit="1" customWidth="1"/>
    <col min="7" max="7" width="72.83203125" style="54" customWidth="1"/>
    <col min="8" max="8" width="18.33203125" style="54" customWidth="1"/>
    <col min="9" max="9" width="16.6640625" style="54" customWidth="1"/>
    <col min="10" max="15" width="18.33203125" style="54" customWidth="1"/>
    <col min="16" max="16384" width="12" style="54"/>
  </cols>
  <sheetData>
    <row r="1" spans="1:17" ht="35.1" customHeight="1" x14ac:dyDescent="0.2">
      <c r="A1" s="108" t="s">
        <v>361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/>
    </row>
    <row r="2" spans="1:17" ht="24.95" customHeight="1" x14ac:dyDescent="0.2">
      <c r="A2" s="40" t="s">
        <v>0</v>
      </c>
      <c r="B2" s="50" t="s">
        <v>1</v>
      </c>
      <c r="C2" s="40" t="s">
        <v>13</v>
      </c>
      <c r="D2" s="50" t="s">
        <v>2</v>
      </c>
      <c r="E2" s="40" t="s">
        <v>16</v>
      </c>
      <c r="F2" s="40" t="s">
        <v>3</v>
      </c>
      <c r="G2" s="40" t="s">
        <v>4</v>
      </c>
      <c r="H2" s="41" t="s">
        <v>5</v>
      </c>
      <c r="I2" s="41" t="s">
        <v>143</v>
      </c>
      <c r="J2" s="41" t="s">
        <v>6</v>
      </c>
      <c r="K2" s="41" t="s">
        <v>7</v>
      </c>
      <c r="L2" s="41" t="s">
        <v>8</v>
      </c>
      <c r="M2" s="41" t="s">
        <v>9</v>
      </c>
      <c r="N2" s="41" t="s">
        <v>10</v>
      </c>
      <c r="O2" s="41" t="s">
        <v>11</v>
      </c>
    </row>
    <row r="3" spans="1:17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</row>
    <row r="4" spans="1:17" x14ac:dyDescent="0.2">
      <c r="G4" s="102" t="s">
        <v>12</v>
      </c>
      <c r="H4" s="103">
        <v>85282391</v>
      </c>
      <c r="I4" s="103">
        <v>6368660</v>
      </c>
      <c r="J4" s="103">
        <v>91651051</v>
      </c>
      <c r="K4" s="103">
        <v>0</v>
      </c>
      <c r="L4" s="103">
        <v>27279128.199999999</v>
      </c>
      <c r="M4" s="103">
        <v>27279128.199999999</v>
      </c>
      <c r="N4" s="103">
        <f>27279128.2-242100.02-214673.35-6197998.06-134939.07-16000</f>
        <v>20473417.699999999</v>
      </c>
      <c r="O4" s="103">
        <f>+J4-L4</f>
        <v>64371922.799999997</v>
      </c>
      <c r="Q4" s="105"/>
    </row>
    <row r="5" spans="1:17" x14ac:dyDescent="0.2">
      <c r="A5" s="55" t="s">
        <v>181</v>
      </c>
      <c r="G5" s="54" t="s">
        <v>292</v>
      </c>
      <c r="H5" s="104">
        <v>0</v>
      </c>
      <c r="I5" s="104">
        <v>0</v>
      </c>
      <c r="J5" s="104">
        <v>0</v>
      </c>
      <c r="K5" s="104">
        <v>0</v>
      </c>
      <c r="L5" s="104">
        <v>0</v>
      </c>
      <c r="M5" s="104">
        <v>0</v>
      </c>
      <c r="N5" s="104"/>
      <c r="O5" s="104">
        <v>0</v>
      </c>
    </row>
    <row r="6" spans="1:17" x14ac:dyDescent="0.2">
      <c r="A6" s="55" t="s">
        <v>181</v>
      </c>
      <c r="B6" s="55" t="s">
        <v>182</v>
      </c>
      <c r="G6" s="54" t="s">
        <v>293</v>
      </c>
      <c r="H6" s="104">
        <v>24021183</v>
      </c>
      <c r="I6" s="104">
        <v>150000</v>
      </c>
      <c r="J6" s="104">
        <v>24171183</v>
      </c>
      <c r="K6" s="104">
        <v>0</v>
      </c>
      <c r="L6" s="104">
        <v>18135696.079999998</v>
      </c>
      <c r="M6" s="104">
        <v>18135696.079999998</v>
      </c>
      <c r="N6" s="104">
        <f>18135696.08-78218.27-4884156.66-181980.22</f>
        <v>12991340.929999998</v>
      </c>
      <c r="O6" s="104">
        <v>0</v>
      </c>
    </row>
    <row r="7" spans="1:17" x14ac:dyDescent="0.2">
      <c r="A7" s="55" t="s">
        <v>181</v>
      </c>
      <c r="B7" s="55" t="s">
        <v>182</v>
      </c>
      <c r="C7" s="55">
        <v>1</v>
      </c>
      <c r="G7" s="54" t="s">
        <v>294</v>
      </c>
      <c r="H7" s="104">
        <v>7000000</v>
      </c>
      <c r="I7" s="104">
        <v>150000</v>
      </c>
      <c r="J7" s="104">
        <v>7150000</v>
      </c>
      <c r="K7" s="104">
        <v>0</v>
      </c>
      <c r="L7" s="104">
        <v>6450000</v>
      </c>
      <c r="M7" s="104">
        <v>6450000</v>
      </c>
      <c r="N7" s="104">
        <v>6450000</v>
      </c>
      <c r="O7" s="104">
        <v>0</v>
      </c>
    </row>
    <row r="8" spans="1:17" x14ac:dyDescent="0.2">
      <c r="A8" s="55" t="s">
        <v>181</v>
      </c>
      <c r="B8" s="55" t="s">
        <v>182</v>
      </c>
      <c r="C8" s="55">
        <v>1</v>
      </c>
      <c r="D8" s="55" t="s">
        <v>183</v>
      </c>
      <c r="G8" s="54" t="s">
        <v>295</v>
      </c>
      <c r="H8" s="104">
        <v>7000000</v>
      </c>
      <c r="I8" s="104">
        <v>150000</v>
      </c>
      <c r="J8" s="104">
        <v>7150000</v>
      </c>
      <c r="K8" s="104">
        <v>0</v>
      </c>
      <c r="L8" s="104">
        <v>6450000</v>
      </c>
      <c r="M8" s="104">
        <v>6450000</v>
      </c>
      <c r="N8" s="104">
        <v>6450000</v>
      </c>
      <c r="O8" s="104">
        <v>0</v>
      </c>
    </row>
    <row r="9" spans="1:17" x14ac:dyDescent="0.2">
      <c r="A9" s="55" t="s">
        <v>181</v>
      </c>
      <c r="B9" s="55" t="s">
        <v>182</v>
      </c>
      <c r="C9" s="55">
        <v>1</v>
      </c>
      <c r="D9" s="55" t="s">
        <v>183</v>
      </c>
      <c r="E9" s="55">
        <v>1</v>
      </c>
      <c r="G9" s="54" t="s">
        <v>296</v>
      </c>
      <c r="H9" s="104">
        <v>7000000</v>
      </c>
      <c r="I9" s="104">
        <v>150000</v>
      </c>
      <c r="J9" s="104">
        <v>7150000</v>
      </c>
      <c r="K9" s="104">
        <v>0</v>
      </c>
      <c r="L9" s="104">
        <v>6450000</v>
      </c>
      <c r="M9" s="104">
        <v>6450000</v>
      </c>
      <c r="N9" s="104">
        <v>6450000</v>
      </c>
      <c r="O9" s="104">
        <v>0</v>
      </c>
    </row>
    <row r="10" spans="1:17" x14ac:dyDescent="0.2">
      <c r="A10" s="55" t="s">
        <v>181</v>
      </c>
      <c r="B10" s="55" t="s">
        <v>182</v>
      </c>
      <c r="C10" s="55">
        <v>1</v>
      </c>
      <c r="D10" s="55" t="s">
        <v>183</v>
      </c>
      <c r="E10" s="55">
        <v>1</v>
      </c>
      <c r="F10" s="55">
        <v>3381</v>
      </c>
      <c r="G10" s="54" t="s">
        <v>297</v>
      </c>
      <c r="H10" s="104">
        <v>0</v>
      </c>
      <c r="I10" s="104">
        <v>700000</v>
      </c>
      <c r="J10" s="104">
        <v>700000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</row>
    <row r="11" spans="1:17" x14ac:dyDescent="0.2">
      <c r="A11" s="55" t="s">
        <v>181</v>
      </c>
      <c r="B11" s="55" t="s">
        <v>182</v>
      </c>
      <c r="C11" s="55">
        <v>1</v>
      </c>
      <c r="D11" s="55" t="s">
        <v>183</v>
      </c>
      <c r="E11" s="55">
        <v>1</v>
      </c>
      <c r="F11" s="55">
        <v>3821</v>
      </c>
      <c r="G11" s="54" t="s">
        <v>185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</row>
    <row r="12" spans="1:17" x14ac:dyDescent="0.2">
      <c r="A12" s="55" t="s">
        <v>181</v>
      </c>
      <c r="B12" s="55" t="s">
        <v>182</v>
      </c>
      <c r="C12" s="55">
        <v>1</v>
      </c>
      <c r="D12" s="55" t="s">
        <v>183</v>
      </c>
      <c r="E12" s="55">
        <v>1</v>
      </c>
      <c r="F12" s="55">
        <v>3821</v>
      </c>
      <c r="G12" s="54" t="s">
        <v>185</v>
      </c>
      <c r="H12" s="104">
        <v>7000000</v>
      </c>
      <c r="I12" s="104">
        <v>-550000</v>
      </c>
      <c r="J12" s="104">
        <v>6450000</v>
      </c>
      <c r="K12" s="104">
        <v>0</v>
      </c>
      <c r="L12" s="104">
        <v>6450000</v>
      </c>
      <c r="M12" s="104">
        <v>6450000</v>
      </c>
      <c r="N12" s="104">
        <v>6450000</v>
      </c>
      <c r="O12" s="104">
        <v>0</v>
      </c>
    </row>
    <row r="13" spans="1:17" x14ac:dyDescent="0.2">
      <c r="A13" s="55" t="s">
        <v>181</v>
      </c>
      <c r="B13" s="55" t="s">
        <v>182</v>
      </c>
      <c r="C13" s="55">
        <v>4</v>
      </c>
      <c r="G13" s="54" t="s">
        <v>298</v>
      </c>
      <c r="H13" s="104">
        <v>15721183</v>
      </c>
      <c r="I13" s="104">
        <v>0</v>
      </c>
      <c r="J13" s="104">
        <v>15721183</v>
      </c>
      <c r="K13" s="104">
        <v>0</v>
      </c>
      <c r="L13" s="104">
        <v>11385696.08</v>
      </c>
      <c r="M13" s="104">
        <v>11385696.08</v>
      </c>
      <c r="N13" s="104">
        <v>11385696.08</v>
      </c>
      <c r="O13" s="104">
        <v>0</v>
      </c>
    </row>
    <row r="14" spans="1:17" x14ac:dyDescent="0.2">
      <c r="A14" s="55" t="s">
        <v>181</v>
      </c>
      <c r="B14" s="55" t="s">
        <v>182</v>
      </c>
      <c r="C14" s="55">
        <v>4</v>
      </c>
      <c r="D14" s="55" t="s">
        <v>183</v>
      </c>
      <c r="G14" s="54" t="s">
        <v>295</v>
      </c>
      <c r="H14" s="104">
        <v>15721183</v>
      </c>
      <c r="I14" s="104">
        <v>0</v>
      </c>
      <c r="J14" s="104">
        <v>15721183</v>
      </c>
      <c r="K14" s="104">
        <v>0</v>
      </c>
      <c r="L14" s="104">
        <v>11385696.08</v>
      </c>
      <c r="M14" s="104">
        <v>11385696.08</v>
      </c>
      <c r="N14" s="104">
        <v>11385696.08</v>
      </c>
      <c r="O14" s="104">
        <v>0</v>
      </c>
    </row>
    <row r="15" spans="1:17" x14ac:dyDescent="0.2">
      <c r="A15" s="55" t="s">
        <v>181</v>
      </c>
      <c r="B15" s="55" t="s">
        <v>182</v>
      </c>
      <c r="C15" s="55">
        <v>4</v>
      </c>
      <c r="D15" s="55" t="s">
        <v>183</v>
      </c>
      <c r="E15" s="55">
        <v>1</v>
      </c>
      <c r="G15" s="54" t="s">
        <v>296</v>
      </c>
      <c r="H15" s="104">
        <v>15721183</v>
      </c>
      <c r="I15" s="104">
        <v>-473280</v>
      </c>
      <c r="J15" s="104">
        <v>15247903</v>
      </c>
      <c r="K15" s="104">
        <v>0</v>
      </c>
      <c r="L15" s="104">
        <v>11385696.08</v>
      </c>
      <c r="M15" s="104">
        <v>11385696.08</v>
      </c>
      <c r="N15" s="104">
        <v>11385696.08</v>
      </c>
      <c r="O15" s="104">
        <v>0</v>
      </c>
    </row>
    <row r="16" spans="1:17" x14ac:dyDescent="0.2">
      <c r="A16" s="55" t="s">
        <v>181</v>
      </c>
      <c r="B16" s="55" t="s">
        <v>182</v>
      </c>
      <c r="C16" s="55">
        <v>4</v>
      </c>
      <c r="D16" s="55" t="s">
        <v>183</v>
      </c>
      <c r="E16" s="55">
        <v>1</v>
      </c>
      <c r="F16" s="55">
        <v>1212</v>
      </c>
      <c r="G16" s="54" t="s">
        <v>299</v>
      </c>
      <c r="H16" s="104">
        <v>318000</v>
      </c>
      <c r="I16" s="104">
        <v>0</v>
      </c>
      <c r="J16" s="104">
        <v>318000</v>
      </c>
      <c r="K16" s="104">
        <v>0</v>
      </c>
      <c r="L16" s="104">
        <v>231981.96</v>
      </c>
      <c r="M16" s="104">
        <v>231981.96</v>
      </c>
      <c r="N16" s="104">
        <f>231981.96-78218.27</f>
        <v>153763.69</v>
      </c>
      <c r="O16" s="104">
        <v>0</v>
      </c>
    </row>
    <row r="17" spans="1:15" x14ac:dyDescent="0.2">
      <c r="A17" s="55" t="s">
        <v>181</v>
      </c>
      <c r="B17" s="55" t="s">
        <v>182</v>
      </c>
      <c r="C17" s="55">
        <v>4</v>
      </c>
      <c r="D17" s="55" t="s">
        <v>183</v>
      </c>
      <c r="E17" s="55">
        <v>1</v>
      </c>
      <c r="F17" s="55">
        <v>1342</v>
      </c>
      <c r="G17" s="54" t="s">
        <v>300</v>
      </c>
      <c r="H17" s="104">
        <v>94210</v>
      </c>
      <c r="I17" s="104">
        <v>0</v>
      </c>
      <c r="J17" s="104">
        <v>94210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</row>
    <row r="18" spans="1:15" x14ac:dyDescent="0.2">
      <c r="A18" s="55" t="s">
        <v>181</v>
      </c>
      <c r="B18" s="55" t="s">
        <v>182</v>
      </c>
      <c r="C18" s="55">
        <v>4</v>
      </c>
      <c r="D18" s="55" t="s">
        <v>183</v>
      </c>
      <c r="E18" s="55">
        <v>1</v>
      </c>
      <c r="F18" s="55">
        <v>1413</v>
      </c>
      <c r="G18" s="54" t="s">
        <v>189</v>
      </c>
      <c r="H18" s="104">
        <v>20000</v>
      </c>
      <c r="I18" s="104">
        <v>0</v>
      </c>
      <c r="J18" s="104">
        <v>20000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</row>
    <row r="19" spans="1:15" x14ac:dyDescent="0.2">
      <c r="A19" s="55" t="s">
        <v>181</v>
      </c>
      <c r="B19" s="55" t="s">
        <v>182</v>
      </c>
      <c r="C19" s="55">
        <v>4</v>
      </c>
      <c r="D19" s="55" t="s">
        <v>183</v>
      </c>
      <c r="E19" s="55">
        <v>1</v>
      </c>
      <c r="F19" s="55">
        <v>1421</v>
      </c>
      <c r="G19" s="54" t="s">
        <v>190</v>
      </c>
      <c r="H19" s="104">
        <v>6000</v>
      </c>
      <c r="I19" s="104">
        <v>0</v>
      </c>
      <c r="J19" s="104">
        <v>6000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</row>
    <row r="20" spans="1:15" x14ac:dyDescent="0.2">
      <c r="A20" s="55" t="s">
        <v>181</v>
      </c>
      <c r="B20" s="55" t="s">
        <v>182</v>
      </c>
      <c r="C20" s="55">
        <v>4</v>
      </c>
      <c r="D20" s="55" t="s">
        <v>183</v>
      </c>
      <c r="E20" s="55">
        <v>1</v>
      </c>
      <c r="F20" s="55">
        <v>1431</v>
      </c>
      <c r="G20" s="54" t="s">
        <v>301</v>
      </c>
      <c r="H20" s="104">
        <v>6000</v>
      </c>
      <c r="I20" s="104">
        <v>0</v>
      </c>
      <c r="J20" s="104">
        <v>6000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</row>
    <row r="21" spans="1:15" x14ac:dyDescent="0.2">
      <c r="A21" s="55" t="s">
        <v>181</v>
      </c>
      <c r="B21" s="55" t="s">
        <v>182</v>
      </c>
      <c r="C21" s="55">
        <v>4</v>
      </c>
      <c r="D21" s="55" t="s">
        <v>183</v>
      </c>
      <c r="E21" s="55">
        <v>1</v>
      </c>
      <c r="F21" s="55">
        <v>2212</v>
      </c>
      <c r="G21" s="54" t="s">
        <v>302</v>
      </c>
      <c r="H21" s="104">
        <v>220000</v>
      </c>
      <c r="I21" s="104">
        <v>0</v>
      </c>
      <c r="J21" s="104">
        <v>220000</v>
      </c>
      <c r="K21" s="104">
        <v>0</v>
      </c>
      <c r="L21" s="104">
        <v>181980.22</v>
      </c>
      <c r="M21" s="104">
        <v>181980.22</v>
      </c>
      <c r="N21" s="104">
        <v>0</v>
      </c>
      <c r="O21" s="104">
        <v>0</v>
      </c>
    </row>
    <row r="22" spans="1:15" x14ac:dyDescent="0.2">
      <c r="A22" s="55" t="s">
        <v>181</v>
      </c>
      <c r="B22" s="55" t="s">
        <v>182</v>
      </c>
      <c r="C22" s="55">
        <v>4</v>
      </c>
      <c r="D22" s="55" t="s">
        <v>183</v>
      </c>
      <c r="E22" s="55">
        <v>1</v>
      </c>
      <c r="F22" s="55">
        <v>3111</v>
      </c>
      <c r="G22" s="54" t="s">
        <v>303</v>
      </c>
      <c r="H22" s="104">
        <v>370000</v>
      </c>
      <c r="I22" s="104">
        <v>0</v>
      </c>
      <c r="J22" s="104">
        <v>370000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</row>
    <row r="23" spans="1:15" x14ac:dyDescent="0.2">
      <c r="A23" s="55" t="s">
        <v>181</v>
      </c>
      <c r="B23" s="55" t="s">
        <v>182</v>
      </c>
      <c r="C23" s="55">
        <v>4</v>
      </c>
      <c r="D23" s="55" t="s">
        <v>183</v>
      </c>
      <c r="E23" s="55">
        <v>1</v>
      </c>
      <c r="F23" s="55">
        <v>3192</v>
      </c>
      <c r="G23" s="54" t="s">
        <v>304</v>
      </c>
      <c r="H23" s="104">
        <v>170000</v>
      </c>
      <c r="I23" s="104">
        <v>0</v>
      </c>
      <c r="J23" s="104">
        <v>170000</v>
      </c>
      <c r="K23" s="104">
        <v>0</v>
      </c>
      <c r="L23" s="104">
        <v>18792</v>
      </c>
      <c r="M23" s="104">
        <v>18792</v>
      </c>
      <c r="N23" s="104">
        <v>18792</v>
      </c>
      <c r="O23" s="104">
        <v>0</v>
      </c>
    </row>
    <row r="24" spans="1:15" x14ac:dyDescent="0.2">
      <c r="A24" s="55" t="s">
        <v>181</v>
      </c>
      <c r="B24" s="55" t="s">
        <v>182</v>
      </c>
      <c r="C24" s="55">
        <v>4</v>
      </c>
      <c r="D24" s="55" t="s">
        <v>183</v>
      </c>
      <c r="E24" s="55">
        <v>1</v>
      </c>
      <c r="F24" s="55">
        <v>3381</v>
      </c>
      <c r="G24" s="54" t="s">
        <v>297</v>
      </c>
      <c r="H24" s="104">
        <v>1460000</v>
      </c>
      <c r="I24" s="104">
        <v>-750000</v>
      </c>
      <c r="J24" s="104">
        <v>710000</v>
      </c>
      <c r="K24" s="104">
        <v>0</v>
      </c>
      <c r="L24" s="104">
        <v>796774.8</v>
      </c>
      <c r="M24" s="104">
        <v>796774.8</v>
      </c>
      <c r="N24" s="104">
        <f>796774.8-501934.32</f>
        <v>294840.48000000004</v>
      </c>
      <c r="O24" s="104">
        <v>0</v>
      </c>
    </row>
    <row r="25" spans="1:15" x14ac:dyDescent="0.2">
      <c r="A25" s="55" t="s">
        <v>181</v>
      </c>
      <c r="B25" s="55" t="s">
        <v>182</v>
      </c>
      <c r="C25" s="55">
        <v>4</v>
      </c>
      <c r="D25" s="55" t="s">
        <v>183</v>
      </c>
      <c r="E25" s="55">
        <v>1</v>
      </c>
      <c r="F25" s="55">
        <v>3391</v>
      </c>
      <c r="G25" s="54" t="s">
        <v>305</v>
      </c>
      <c r="H25" s="104">
        <v>585000</v>
      </c>
      <c r="I25" s="104">
        <v>0</v>
      </c>
      <c r="J25" s="104">
        <v>585000</v>
      </c>
      <c r="K25" s="104">
        <v>0</v>
      </c>
      <c r="L25" s="104">
        <v>548852.31000000006</v>
      </c>
      <c r="M25" s="104">
        <v>548852.31000000006</v>
      </c>
      <c r="N25" s="104">
        <f>548852.31-267652.31</f>
        <v>281200.00000000006</v>
      </c>
      <c r="O25" s="104">
        <v>0</v>
      </c>
    </row>
    <row r="26" spans="1:15" x14ac:dyDescent="0.2">
      <c r="A26" s="55" t="s">
        <v>181</v>
      </c>
      <c r="B26" s="55" t="s">
        <v>182</v>
      </c>
      <c r="C26" s="55">
        <v>4</v>
      </c>
      <c r="D26" s="55" t="s">
        <v>183</v>
      </c>
      <c r="E26" s="55">
        <v>1</v>
      </c>
      <c r="F26" s="55">
        <v>3431</v>
      </c>
      <c r="G26" s="54" t="s">
        <v>306</v>
      </c>
      <c r="H26" s="104">
        <v>80000</v>
      </c>
      <c r="I26" s="104">
        <v>0</v>
      </c>
      <c r="J26" s="104">
        <v>80000</v>
      </c>
      <c r="K26" s="104">
        <v>0</v>
      </c>
      <c r="L26" s="104">
        <v>50067.49</v>
      </c>
      <c r="M26" s="104">
        <v>50067.49</v>
      </c>
      <c r="N26" s="104">
        <v>0</v>
      </c>
      <c r="O26" s="104">
        <v>0</v>
      </c>
    </row>
    <row r="27" spans="1:15" x14ac:dyDescent="0.2">
      <c r="A27" s="55" t="s">
        <v>181</v>
      </c>
      <c r="B27" s="55" t="s">
        <v>182</v>
      </c>
      <c r="C27" s="55">
        <v>4</v>
      </c>
      <c r="D27" s="55" t="s">
        <v>183</v>
      </c>
      <c r="E27" s="55">
        <v>1</v>
      </c>
      <c r="F27" s="55">
        <v>3511</v>
      </c>
      <c r="G27" s="54" t="s">
        <v>307</v>
      </c>
      <c r="H27" s="104">
        <v>2000000</v>
      </c>
      <c r="I27" s="104">
        <v>0</v>
      </c>
      <c r="J27" s="104">
        <v>2000000</v>
      </c>
      <c r="K27" s="104">
        <v>0</v>
      </c>
      <c r="L27" s="104">
        <v>346248.4</v>
      </c>
      <c r="M27" s="104">
        <v>346248.4</v>
      </c>
      <c r="N27" s="104">
        <f>346248.4-102164.6</f>
        <v>244083.80000000002</v>
      </c>
      <c r="O27" s="104">
        <v>0</v>
      </c>
    </row>
    <row r="28" spans="1:15" x14ac:dyDescent="0.2">
      <c r="A28" s="55" t="s">
        <v>181</v>
      </c>
      <c r="B28" s="55" t="s">
        <v>182</v>
      </c>
      <c r="C28" s="55">
        <v>4</v>
      </c>
      <c r="D28" s="55" t="s">
        <v>183</v>
      </c>
      <c r="E28" s="55">
        <v>1</v>
      </c>
      <c r="F28" s="55">
        <v>3581</v>
      </c>
      <c r="G28" s="54" t="s">
        <v>308</v>
      </c>
      <c r="H28" s="104">
        <v>180000</v>
      </c>
      <c r="I28" s="104">
        <v>0</v>
      </c>
      <c r="J28" s="104">
        <v>180000</v>
      </c>
      <c r="K28" s="104">
        <v>0</v>
      </c>
      <c r="L28" s="104">
        <v>303178.09999999998</v>
      </c>
      <c r="M28" s="104">
        <v>303178.09999999998</v>
      </c>
      <c r="N28" s="104">
        <f>303178.1-90006.35</f>
        <v>213171.74999999997</v>
      </c>
      <c r="O28" s="104">
        <v>0</v>
      </c>
    </row>
    <row r="29" spans="1:15" x14ac:dyDescent="0.2">
      <c r="A29" s="55" t="s">
        <v>181</v>
      </c>
      <c r="B29" s="55" t="s">
        <v>182</v>
      </c>
      <c r="C29" s="55">
        <v>4</v>
      </c>
      <c r="D29" s="55" t="s">
        <v>183</v>
      </c>
      <c r="E29" s="55">
        <v>1</v>
      </c>
      <c r="F29" s="55">
        <v>3621</v>
      </c>
      <c r="G29" s="54" t="s">
        <v>309</v>
      </c>
      <c r="H29" s="104">
        <v>1600000</v>
      </c>
      <c r="I29" s="104">
        <v>229975</v>
      </c>
      <c r="J29" s="104">
        <v>1829975</v>
      </c>
      <c r="K29" s="104">
        <v>0</v>
      </c>
      <c r="L29" s="104">
        <v>1496232.78</v>
      </c>
      <c r="M29" s="104">
        <v>1496232.78</v>
      </c>
      <c r="N29" s="104">
        <f>1496232.78-1267042.99</f>
        <v>229189.79000000004</v>
      </c>
      <c r="O29" s="104">
        <v>0</v>
      </c>
    </row>
    <row r="30" spans="1:15" x14ac:dyDescent="0.2">
      <c r="A30" s="55" t="s">
        <v>181</v>
      </c>
      <c r="B30" s="55" t="s">
        <v>182</v>
      </c>
      <c r="C30" s="55">
        <v>4</v>
      </c>
      <c r="D30" s="55" t="s">
        <v>183</v>
      </c>
      <c r="E30" s="55">
        <v>1</v>
      </c>
      <c r="F30" s="55">
        <v>3821</v>
      </c>
      <c r="G30" s="54" t="s">
        <v>185</v>
      </c>
      <c r="H30" s="104">
        <v>8391973</v>
      </c>
      <c r="I30" s="104">
        <v>46745</v>
      </c>
      <c r="J30" s="104">
        <v>8438718</v>
      </c>
      <c r="K30" s="104">
        <v>0</v>
      </c>
      <c r="L30" s="104">
        <v>7411588.0199999996</v>
      </c>
      <c r="M30" s="104">
        <v>7411588.0199999996</v>
      </c>
      <c r="N30" s="104">
        <f>7411588.02-2605288.6</f>
        <v>4806299.42</v>
      </c>
      <c r="O30" s="104">
        <v>0</v>
      </c>
    </row>
    <row r="31" spans="1:15" x14ac:dyDescent="0.2">
      <c r="A31" s="55" t="s">
        <v>181</v>
      </c>
      <c r="B31" s="55" t="s">
        <v>182</v>
      </c>
      <c r="C31" s="55">
        <v>4</v>
      </c>
      <c r="D31" s="55" t="s">
        <v>183</v>
      </c>
      <c r="E31" s="55">
        <v>1</v>
      </c>
      <c r="F31" s="55">
        <v>4411</v>
      </c>
      <c r="G31" s="54" t="s">
        <v>310</v>
      </c>
      <c r="H31" s="104">
        <v>120000</v>
      </c>
      <c r="I31" s="104">
        <v>0</v>
      </c>
      <c r="J31" s="104">
        <v>120000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</row>
    <row r="32" spans="1:15" x14ac:dyDescent="0.2">
      <c r="A32" s="55" t="s">
        <v>181</v>
      </c>
      <c r="B32" s="55" t="s">
        <v>182</v>
      </c>
      <c r="C32" s="55">
        <v>4</v>
      </c>
      <c r="D32" s="55" t="s">
        <v>183</v>
      </c>
      <c r="E32" s="55">
        <v>1</v>
      </c>
      <c r="F32" s="55">
        <v>4451</v>
      </c>
      <c r="G32" s="54" t="s">
        <v>311</v>
      </c>
      <c r="H32" s="104">
        <v>100000</v>
      </c>
      <c r="I32" s="104">
        <v>0</v>
      </c>
      <c r="J32" s="104">
        <v>100000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</row>
    <row r="33" spans="1:15" x14ac:dyDescent="0.2">
      <c r="A33" s="55" t="s">
        <v>181</v>
      </c>
      <c r="B33" s="55" t="s">
        <v>182</v>
      </c>
      <c r="C33" s="55">
        <v>4</v>
      </c>
      <c r="D33" s="55" t="s">
        <v>183</v>
      </c>
      <c r="E33" s="55">
        <v>2</v>
      </c>
      <c r="G33" s="54" t="s">
        <v>312</v>
      </c>
      <c r="H33" s="104">
        <v>0</v>
      </c>
      <c r="I33" s="104">
        <v>473280</v>
      </c>
      <c r="J33" s="104">
        <v>473280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</row>
    <row r="34" spans="1:15" x14ac:dyDescent="0.2">
      <c r="A34" s="55" t="s">
        <v>181</v>
      </c>
      <c r="B34" s="55" t="s">
        <v>182</v>
      </c>
      <c r="C34" s="55">
        <v>4</v>
      </c>
      <c r="D34" s="55" t="s">
        <v>183</v>
      </c>
      <c r="E34" s="55">
        <v>2</v>
      </c>
      <c r="F34" s="55">
        <v>5691</v>
      </c>
      <c r="G34" s="54" t="s">
        <v>313</v>
      </c>
      <c r="H34" s="104">
        <v>0</v>
      </c>
      <c r="I34" s="104">
        <v>473280</v>
      </c>
      <c r="J34" s="104">
        <v>473280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</row>
    <row r="35" spans="1:15" x14ac:dyDescent="0.2">
      <c r="A35" s="55" t="s">
        <v>181</v>
      </c>
      <c r="B35" s="55" t="s">
        <v>182</v>
      </c>
      <c r="C35" s="55">
        <v>6</v>
      </c>
      <c r="G35" s="54" t="s">
        <v>314</v>
      </c>
      <c r="H35" s="104">
        <v>1300000</v>
      </c>
      <c r="I35" s="104">
        <v>0</v>
      </c>
      <c r="J35" s="104">
        <v>1300000</v>
      </c>
      <c r="K35" s="104">
        <v>0</v>
      </c>
      <c r="L35" s="104">
        <v>300000</v>
      </c>
      <c r="M35" s="104">
        <v>300000</v>
      </c>
      <c r="N35" s="104">
        <v>300000</v>
      </c>
      <c r="O35" s="104">
        <v>0</v>
      </c>
    </row>
    <row r="36" spans="1:15" x14ac:dyDescent="0.2">
      <c r="A36" s="55" t="s">
        <v>181</v>
      </c>
      <c r="B36" s="55" t="s">
        <v>182</v>
      </c>
      <c r="C36" s="55">
        <v>6</v>
      </c>
      <c r="D36" s="55" t="s">
        <v>183</v>
      </c>
      <c r="G36" s="54" t="s">
        <v>295</v>
      </c>
      <c r="H36" s="104">
        <v>1300000</v>
      </c>
      <c r="I36" s="104">
        <v>0</v>
      </c>
      <c r="J36" s="104">
        <v>1300000</v>
      </c>
      <c r="K36" s="104">
        <v>0</v>
      </c>
      <c r="L36" s="104">
        <v>300000</v>
      </c>
      <c r="M36" s="104">
        <v>300000</v>
      </c>
      <c r="N36" s="104">
        <v>300000</v>
      </c>
      <c r="O36" s="104">
        <v>0</v>
      </c>
    </row>
    <row r="37" spans="1:15" x14ac:dyDescent="0.2">
      <c r="A37" s="55" t="s">
        <v>181</v>
      </c>
      <c r="B37" s="55" t="s">
        <v>182</v>
      </c>
      <c r="C37" s="55">
        <v>6</v>
      </c>
      <c r="D37" s="55" t="s">
        <v>183</v>
      </c>
      <c r="E37" s="55">
        <v>1</v>
      </c>
      <c r="G37" s="54" t="s">
        <v>296</v>
      </c>
      <c r="H37" s="104">
        <v>1300000</v>
      </c>
      <c r="I37" s="104">
        <v>0</v>
      </c>
      <c r="J37" s="104">
        <v>1300000</v>
      </c>
      <c r="K37" s="104">
        <v>0</v>
      </c>
      <c r="L37" s="104">
        <v>300000</v>
      </c>
      <c r="M37" s="104">
        <v>300000</v>
      </c>
      <c r="N37" s="104">
        <v>300000</v>
      </c>
      <c r="O37" s="104">
        <v>0</v>
      </c>
    </row>
    <row r="38" spans="1:15" x14ac:dyDescent="0.2">
      <c r="A38" s="55" t="s">
        <v>181</v>
      </c>
      <c r="B38" s="55" t="s">
        <v>182</v>
      </c>
      <c r="C38" s="55">
        <v>6</v>
      </c>
      <c r="D38" s="55" t="s">
        <v>183</v>
      </c>
      <c r="E38" s="55">
        <v>1</v>
      </c>
      <c r="F38" s="55">
        <v>3821</v>
      </c>
      <c r="G38" s="54" t="s">
        <v>185</v>
      </c>
      <c r="H38" s="104">
        <v>1300000</v>
      </c>
      <c r="I38" s="104">
        <v>0</v>
      </c>
      <c r="J38" s="104">
        <v>1300000</v>
      </c>
      <c r="K38" s="104">
        <v>0</v>
      </c>
      <c r="L38" s="104">
        <v>300000</v>
      </c>
      <c r="M38" s="104">
        <v>300000</v>
      </c>
      <c r="N38" s="104">
        <v>300000</v>
      </c>
      <c r="O38" s="104">
        <v>0</v>
      </c>
    </row>
    <row r="39" spans="1:15" x14ac:dyDescent="0.2">
      <c r="A39" s="55" t="s">
        <v>181</v>
      </c>
      <c r="B39" s="55" t="s">
        <v>206</v>
      </c>
      <c r="G39" s="54" t="s">
        <v>315</v>
      </c>
      <c r="H39" s="104">
        <v>52445081</v>
      </c>
      <c r="I39" s="104">
        <v>6616990.1699999999</v>
      </c>
      <c r="J39" s="104">
        <v>59062071.170000002</v>
      </c>
      <c r="K39" s="104">
        <v>0</v>
      </c>
      <c r="L39" s="104">
        <v>3512600.53</v>
      </c>
      <c r="M39" s="104">
        <v>3512600.53</v>
      </c>
      <c r="N39" s="104">
        <f>3512600.53-47872.64-16419.46-158272.07-16000</f>
        <v>3274036.36</v>
      </c>
      <c r="O39" s="104">
        <v>0</v>
      </c>
    </row>
    <row r="40" spans="1:15" x14ac:dyDescent="0.2">
      <c r="A40" s="55" t="s">
        <v>181</v>
      </c>
      <c r="B40" s="55" t="s">
        <v>206</v>
      </c>
      <c r="C40" s="55">
        <v>1</v>
      </c>
      <c r="D40" s="55" t="s">
        <v>183</v>
      </c>
      <c r="E40" s="55">
        <v>1</v>
      </c>
      <c r="F40" s="55">
        <v>1131</v>
      </c>
      <c r="G40" s="54" t="s">
        <v>207</v>
      </c>
      <c r="H40" s="104">
        <v>1146708</v>
      </c>
      <c r="I40" s="104">
        <v>-28726.17</v>
      </c>
      <c r="J40" s="104">
        <v>1117981.83</v>
      </c>
      <c r="K40" s="104">
        <v>0</v>
      </c>
      <c r="L40" s="104">
        <v>1130497.96</v>
      </c>
      <c r="M40" s="104">
        <v>1130497.96</v>
      </c>
      <c r="N40" s="104">
        <v>1130497.96</v>
      </c>
      <c r="O40" s="104">
        <v>0</v>
      </c>
    </row>
    <row r="41" spans="1:15" x14ac:dyDescent="0.2">
      <c r="A41" s="55" t="s">
        <v>181</v>
      </c>
      <c r="B41" s="55" t="s">
        <v>206</v>
      </c>
      <c r="C41" s="55">
        <v>1</v>
      </c>
      <c r="D41" s="55" t="s">
        <v>183</v>
      </c>
      <c r="E41" s="55">
        <v>1</v>
      </c>
      <c r="F41" s="55">
        <v>1212</v>
      </c>
      <c r="G41" s="54" t="s">
        <v>299</v>
      </c>
      <c r="H41" s="104">
        <v>437068.28</v>
      </c>
      <c r="I41" s="104">
        <v>0</v>
      </c>
      <c r="J41" s="104">
        <v>437068.28</v>
      </c>
      <c r="K41" s="104">
        <v>0</v>
      </c>
      <c r="L41" s="104">
        <v>432483.34</v>
      </c>
      <c r="M41" s="104">
        <v>432483.34</v>
      </c>
      <c r="N41" s="104">
        <v>432483.34160520002</v>
      </c>
      <c r="O41" s="104">
        <v>0</v>
      </c>
    </row>
    <row r="42" spans="1:15" x14ac:dyDescent="0.2">
      <c r="A42" s="55" t="s">
        <v>181</v>
      </c>
      <c r="B42" s="55" t="s">
        <v>206</v>
      </c>
      <c r="C42" s="55">
        <v>1</v>
      </c>
      <c r="D42" s="55" t="s">
        <v>183</v>
      </c>
      <c r="E42" s="55">
        <v>1</v>
      </c>
      <c r="F42" s="55">
        <v>1321</v>
      </c>
      <c r="G42" s="54" t="s">
        <v>208</v>
      </c>
      <c r="H42" s="104">
        <v>29623.29</v>
      </c>
      <c r="I42" s="104">
        <v>-739.66</v>
      </c>
      <c r="J42" s="104">
        <v>28883.63</v>
      </c>
      <c r="K42" s="104">
        <v>0</v>
      </c>
      <c r="L42" s="104">
        <v>28877.439999999999</v>
      </c>
      <c r="M42" s="104">
        <v>28877.439999999999</v>
      </c>
      <c r="N42" s="104">
        <v>28877.439999999999</v>
      </c>
      <c r="O42" s="104">
        <v>0</v>
      </c>
    </row>
    <row r="43" spans="1:15" x14ac:dyDescent="0.2">
      <c r="A43" s="55" t="s">
        <v>181</v>
      </c>
      <c r="B43" s="55" t="s">
        <v>206</v>
      </c>
      <c r="C43" s="55">
        <v>1</v>
      </c>
      <c r="D43" s="55" t="s">
        <v>183</v>
      </c>
      <c r="E43" s="55">
        <v>1</v>
      </c>
      <c r="F43" s="55">
        <v>1323</v>
      </c>
      <c r="G43" s="54" t="s">
        <v>316</v>
      </c>
      <c r="H43" s="104">
        <v>159265</v>
      </c>
      <c r="I43" s="104">
        <v>-3976.5</v>
      </c>
      <c r="J43" s="104">
        <v>155288.5</v>
      </c>
      <c r="K43" s="104">
        <v>0</v>
      </c>
      <c r="L43" s="104">
        <v>155288.32999999999</v>
      </c>
      <c r="M43" s="104">
        <v>155288.32999999999</v>
      </c>
      <c r="N43" s="104">
        <v>155288.32999999999</v>
      </c>
      <c r="O43" s="104">
        <v>0</v>
      </c>
    </row>
    <row r="44" spans="1:15" x14ac:dyDescent="0.2">
      <c r="A44" s="55" t="s">
        <v>181</v>
      </c>
      <c r="B44" s="55" t="s">
        <v>206</v>
      </c>
      <c r="C44" s="55">
        <v>1</v>
      </c>
      <c r="D44" s="55" t="s">
        <v>183</v>
      </c>
      <c r="E44" s="55">
        <v>1</v>
      </c>
      <c r="F44" s="55">
        <v>1413</v>
      </c>
      <c r="G44" s="54" t="s">
        <v>189</v>
      </c>
      <c r="H44" s="104">
        <v>106328.79</v>
      </c>
      <c r="I44" s="104">
        <v>-2320.88</v>
      </c>
      <c r="J44" s="104">
        <v>104007.91</v>
      </c>
      <c r="K44" s="104">
        <v>0</v>
      </c>
      <c r="L44" s="104">
        <v>106579.96</v>
      </c>
      <c r="M44" s="104">
        <v>106579.96</v>
      </c>
      <c r="N44" s="104">
        <f>106579.96-9230.88</f>
        <v>97349.08</v>
      </c>
      <c r="O44" s="104">
        <v>0</v>
      </c>
    </row>
    <row r="45" spans="1:15" x14ac:dyDescent="0.2">
      <c r="A45" s="55" t="s">
        <v>181</v>
      </c>
      <c r="B45" s="55" t="s">
        <v>206</v>
      </c>
      <c r="C45" s="55">
        <v>1</v>
      </c>
      <c r="D45" s="55" t="s">
        <v>183</v>
      </c>
      <c r="E45" s="55">
        <v>1</v>
      </c>
      <c r="F45" s="55">
        <v>1421</v>
      </c>
      <c r="G45" s="54" t="s">
        <v>190</v>
      </c>
      <c r="H45" s="104">
        <v>68872.37</v>
      </c>
      <c r="I45" s="104">
        <v>-1719.91</v>
      </c>
      <c r="J45" s="104">
        <v>67152.460000000006</v>
      </c>
      <c r="K45" s="104">
        <v>0</v>
      </c>
      <c r="L45" s="104">
        <v>66745.52</v>
      </c>
      <c r="M45" s="104">
        <v>66745.52</v>
      </c>
      <c r="N45" s="104">
        <f>66745.52-11127.96</f>
        <v>55617.560000000005</v>
      </c>
      <c r="O45" s="104">
        <v>0</v>
      </c>
    </row>
    <row r="46" spans="1:15" x14ac:dyDescent="0.2">
      <c r="A46" s="55" t="s">
        <v>181</v>
      </c>
      <c r="B46" s="55" t="s">
        <v>206</v>
      </c>
      <c r="C46" s="55">
        <v>1</v>
      </c>
      <c r="D46" s="55" t="s">
        <v>183</v>
      </c>
      <c r="E46" s="55">
        <v>1</v>
      </c>
      <c r="F46" s="55">
        <v>1431</v>
      </c>
      <c r="G46" s="54" t="s">
        <v>301</v>
      </c>
      <c r="H46" s="104">
        <v>70938.28</v>
      </c>
      <c r="I46" s="104">
        <v>-1771.24</v>
      </c>
      <c r="J46" s="104">
        <v>69167.039999999994</v>
      </c>
      <c r="K46" s="104">
        <v>0</v>
      </c>
      <c r="L46" s="104">
        <v>68747.87</v>
      </c>
      <c r="M46" s="104">
        <v>68747.87</v>
      </c>
      <c r="N46" s="104">
        <f>68747.87-11461.8</f>
        <v>57286.069999999992</v>
      </c>
      <c r="O46" s="104">
        <v>0</v>
      </c>
    </row>
    <row r="47" spans="1:15" x14ac:dyDescent="0.2">
      <c r="A47" s="55" t="s">
        <v>181</v>
      </c>
      <c r="B47" s="55" t="s">
        <v>206</v>
      </c>
      <c r="C47" s="55">
        <v>1</v>
      </c>
      <c r="D47" s="55" t="s">
        <v>183</v>
      </c>
      <c r="E47" s="55">
        <v>1</v>
      </c>
      <c r="F47" s="55">
        <v>1511</v>
      </c>
      <c r="G47" s="54" t="s">
        <v>317</v>
      </c>
      <c r="H47" s="104">
        <v>22934.16</v>
      </c>
      <c r="I47" s="104">
        <v>-572.64</v>
      </c>
      <c r="J47" s="104">
        <v>22361.52</v>
      </c>
      <c r="K47" s="104">
        <v>0</v>
      </c>
      <c r="L47" s="104">
        <v>22829.97</v>
      </c>
      <c r="M47" s="104">
        <v>22829.97</v>
      </c>
      <c r="N47" s="104">
        <v>22829.97</v>
      </c>
      <c r="O47" s="104">
        <v>0</v>
      </c>
    </row>
    <row r="48" spans="1:15" x14ac:dyDescent="0.2">
      <c r="A48" s="55" t="s">
        <v>181</v>
      </c>
      <c r="B48" s="55" t="s">
        <v>206</v>
      </c>
      <c r="C48" s="55">
        <v>1</v>
      </c>
      <c r="D48" s="55" t="s">
        <v>183</v>
      </c>
      <c r="E48" s="55">
        <v>1</v>
      </c>
      <c r="F48" s="55">
        <v>1522</v>
      </c>
      <c r="G48" s="54" t="s">
        <v>318</v>
      </c>
      <c r="H48" s="104">
        <v>150000</v>
      </c>
      <c r="I48" s="104">
        <v>-50000</v>
      </c>
      <c r="J48" s="104">
        <v>100000</v>
      </c>
      <c r="K48" s="104">
        <v>0</v>
      </c>
      <c r="L48" s="104">
        <v>0</v>
      </c>
      <c r="M48" s="104">
        <v>0</v>
      </c>
      <c r="N48" s="104">
        <v>0</v>
      </c>
      <c r="O48" s="104">
        <v>0</v>
      </c>
    </row>
    <row r="49" spans="1:15" x14ac:dyDescent="0.2">
      <c r="A49" s="55" t="s">
        <v>181</v>
      </c>
      <c r="B49" s="55" t="s">
        <v>206</v>
      </c>
      <c r="C49" s="55">
        <v>1</v>
      </c>
      <c r="D49" s="55" t="s">
        <v>183</v>
      </c>
      <c r="E49" s="55">
        <v>1</v>
      </c>
      <c r="F49" s="55">
        <v>2111</v>
      </c>
      <c r="G49" s="54" t="s">
        <v>319</v>
      </c>
      <c r="H49" s="104">
        <v>25000</v>
      </c>
      <c r="I49" s="104">
        <v>-12000</v>
      </c>
      <c r="J49" s="104">
        <v>13000</v>
      </c>
      <c r="K49" s="104">
        <v>0</v>
      </c>
      <c r="L49" s="104">
        <v>20399.509999999998</v>
      </c>
      <c r="M49" s="104">
        <v>20399.509999999998</v>
      </c>
      <c r="N49" s="104">
        <f>20399.51-9156.45</f>
        <v>11243.059999999998</v>
      </c>
      <c r="O49" s="104">
        <v>0</v>
      </c>
    </row>
    <row r="50" spans="1:15" x14ac:dyDescent="0.2">
      <c r="A50" s="55" t="s">
        <v>181</v>
      </c>
      <c r="B50" s="55" t="s">
        <v>206</v>
      </c>
      <c r="C50" s="55">
        <v>1</v>
      </c>
      <c r="D50" s="55" t="s">
        <v>183</v>
      </c>
      <c r="E50" s="55">
        <v>1</v>
      </c>
      <c r="F50" s="55">
        <v>2112</v>
      </c>
      <c r="G50" s="54" t="s">
        <v>320</v>
      </c>
      <c r="H50" s="104">
        <v>12228</v>
      </c>
      <c r="I50" s="104">
        <v>-6228</v>
      </c>
      <c r="J50" s="104">
        <v>6000</v>
      </c>
      <c r="K50" s="104">
        <v>0</v>
      </c>
      <c r="L50" s="104">
        <v>4028.3</v>
      </c>
      <c r="M50" s="104">
        <v>4028.3</v>
      </c>
      <c r="N50" s="104">
        <v>4028.3</v>
      </c>
      <c r="O50" s="104">
        <v>0</v>
      </c>
    </row>
    <row r="51" spans="1:15" x14ac:dyDescent="0.2">
      <c r="A51" s="55" t="s">
        <v>181</v>
      </c>
      <c r="B51" s="55" t="s">
        <v>206</v>
      </c>
      <c r="C51" s="55">
        <v>1</v>
      </c>
      <c r="D51" s="55" t="s">
        <v>183</v>
      </c>
      <c r="E51" s="55">
        <v>1</v>
      </c>
      <c r="F51" s="55">
        <v>2121</v>
      </c>
      <c r="G51" s="54" t="s">
        <v>321</v>
      </c>
      <c r="H51" s="104">
        <v>10000</v>
      </c>
      <c r="I51" s="104">
        <v>-6500</v>
      </c>
      <c r="J51" s="104">
        <v>3500</v>
      </c>
      <c r="K51" s="104">
        <v>0</v>
      </c>
      <c r="L51" s="104">
        <v>3268.91</v>
      </c>
      <c r="M51" s="104">
        <v>3268.91</v>
      </c>
      <c r="N51" s="104">
        <v>3268.91</v>
      </c>
      <c r="O51" s="104">
        <v>0</v>
      </c>
    </row>
    <row r="52" spans="1:15" x14ac:dyDescent="0.2">
      <c r="A52" s="55" t="s">
        <v>181</v>
      </c>
      <c r="B52" s="55" t="s">
        <v>206</v>
      </c>
      <c r="C52" s="55">
        <v>1</v>
      </c>
      <c r="D52" s="55" t="s">
        <v>183</v>
      </c>
      <c r="E52" s="55">
        <v>1</v>
      </c>
      <c r="F52" s="55">
        <v>2212</v>
      </c>
      <c r="G52" s="54" t="s">
        <v>302</v>
      </c>
      <c r="H52" s="104">
        <v>45000</v>
      </c>
      <c r="I52" s="104">
        <v>5000</v>
      </c>
      <c r="J52" s="104">
        <v>50000</v>
      </c>
      <c r="K52" s="104">
        <v>0</v>
      </c>
      <c r="L52" s="104">
        <v>53959.92</v>
      </c>
      <c r="M52" s="104">
        <v>53959.92</v>
      </c>
      <c r="N52" s="104">
        <f>53959.92-4547.43</f>
        <v>49412.49</v>
      </c>
      <c r="O52" s="104">
        <v>0</v>
      </c>
    </row>
    <row r="53" spans="1:15" x14ac:dyDescent="0.2">
      <c r="A53" s="55" t="s">
        <v>181</v>
      </c>
      <c r="B53" s="55" t="s">
        <v>206</v>
      </c>
      <c r="C53" s="55">
        <v>1</v>
      </c>
      <c r="D53" s="55" t="s">
        <v>183</v>
      </c>
      <c r="E53" s="55">
        <v>1</v>
      </c>
      <c r="F53" s="55">
        <v>2612</v>
      </c>
      <c r="G53" s="54" t="s">
        <v>322</v>
      </c>
      <c r="H53" s="104">
        <v>44000</v>
      </c>
      <c r="I53" s="104">
        <v>-14000</v>
      </c>
      <c r="J53" s="104">
        <v>30000</v>
      </c>
      <c r="K53" s="104">
        <v>0</v>
      </c>
      <c r="L53" s="104">
        <v>29302.71</v>
      </c>
      <c r="M53" s="104">
        <v>29302.71</v>
      </c>
      <c r="N53" s="104">
        <f>29302.71-2715.58</f>
        <v>26587.129999999997</v>
      </c>
      <c r="O53" s="104">
        <v>0</v>
      </c>
    </row>
    <row r="54" spans="1:15" x14ac:dyDescent="0.2">
      <c r="A54" s="55" t="s">
        <v>181</v>
      </c>
      <c r="B54" s="55" t="s">
        <v>206</v>
      </c>
      <c r="C54" s="55">
        <v>1</v>
      </c>
      <c r="D54" s="55" t="s">
        <v>183</v>
      </c>
      <c r="E54" s="55">
        <v>1</v>
      </c>
      <c r="F54" s="55">
        <v>2711</v>
      </c>
      <c r="G54" s="54" t="s">
        <v>323</v>
      </c>
      <c r="H54" s="104">
        <v>10000</v>
      </c>
      <c r="I54" s="104">
        <v>2000</v>
      </c>
      <c r="J54" s="104">
        <v>12000</v>
      </c>
      <c r="K54" s="104">
        <v>0</v>
      </c>
      <c r="L54" s="104">
        <v>0</v>
      </c>
      <c r="M54" s="104">
        <v>0</v>
      </c>
      <c r="N54" s="104">
        <v>0</v>
      </c>
      <c r="O54" s="104">
        <v>0</v>
      </c>
    </row>
    <row r="55" spans="1:15" x14ac:dyDescent="0.2">
      <c r="A55" s="55" t="s">
        <v>181</v>
      </c>
      <c r="B55" s="55" t="s">
        <v>206</v>
      </c>
      <c r="C55" s="55">
        <v>1</v>
      </c>
      <c r="D55" s="55" t="s">
        <v>183</v>
      </c>
      <c r="E55" s="55">
        <v>1</v>
      </c>
      <c r="F55" s="55">
        <v>2941</v>
      </c>
      <c r="G55" s="54" t="s">
        <v>324</v>
      </c>
      <c r="H55" s="104">
        <v>5000</v>
      </c>
      <c r="I55" s="104">
        <v>-5000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O55" s="104">
        <v>0</v>
      </c>
    </row>
    <row r="56" spans="1:15" x14ac:dyDescent="0.2">
      <c r="A56" s="55" t="s">
        <v>181</v>
      </c>
      <c r="B56" s="55" t="s">
        <v>206</v>
      </c>
      <c r="C56" s="55">
        <v>1</v>
      </c>
      <c r="D56" s="55" t="s">
        <v>183</v>
      </c>
      <c r="E56" s="55">
        <v>1</v>
      </c>
      <c r="F56" s="55">
        <v>3141</v>
      </c>
      <c r="G56" s="54" t="s">
        <v>325</v>
      </c>
      <c r="H56" s="104">
        <v>40000</v>
      </c>
      <c r="I56" s="104">
        <v>-14000</v>
      </c>
      <c r="J56" s="104">
        <v>26000</v>
      </c>
      <c r="K56" s="104">
        <v>0</v>
      </c>
      <c r="L56" s="104">
        <v>24416</v>
      </c>
      <c r="M56" s="104">
        <v>24416</v>
      </c>
      <c r="N56" s="104">
        <f>24416-1598</f>
        <v>22818</v>
      </c>
      <c r="O56" s="104">
        <v>0</v>
      </c>
    </row>
    <row r="57" spans="1:15" x14ac:dyDescent="0.2">
      <c r="A57" s="55" t="s">
        <v>181</v>
      </c>
      <c r="B57" s="55" t="s">
        <v>206</v>
      </c>
      <c r="C57" s="55">
        <v>1</v>
      </c>
      <c r="D57" s="55" t="s">
        <v>183</v>
      </c>
      <c r="E57" s="55">
        <v>1</v>
      </c>
      <c r="F57" s="55">
        <v>3151</v>
      </c>
      <c r="G57" s="54" t="s">
        <v>326</v>
      </c>
      <c r="H57" s="104">
        <v>50000</v>
      </c>
      <c r="I57" s="104">
        <v>-50000</v>
      </c>
      <c r="J57" s="104">
        <v>0</v>
      </c>
      <c r="K57" s="104">
        <v>0</v>
      </c>
      <c r="L57" s="104">
        <v>0</v>
      </c>
      <c r="M57" s="104">
        <v>0</v>
      </c>
      <c r="N57" s="104">
        <v>0</v>
      </c>
      <c r="O57" s="104">
        <v>0</v>
      </c>
    </row>
    <row r="58" spans="1:15" x14ac:dyDescent="0.2">
      <c r="A58" s="55" t="s">
        <v>181</v>
      </c>
      <c r="B58" s="55" t="s">
        <v>206</v>
      </c>
      <c r="C58" s="55">
        <v>1</v>
      </c>
      <c r="D58" s="55" t="s">
        <v>183</v>
      </c>
      <c r="E58" s="55">
        <v>1</v>
      </c>
      <c r="F58" s="55">
        <v>3181</v>
      </c>
      <c r="G58" s="54" t="s">
        <v>327</v>
      </c>
      <c r="H58" s="104">
        <v>6000</v>
      </c>
      <c r="I58" s="104">
        <v>-4000</v>
      </c>
      <c r="J58" s="104">
        <v>2000</v>
      </c>
      <c r="K58" s="104">
        <v>0</v>
      </c>
      <c r="L58" s="104">
        <v>0</v>
      </c>
      <c r="M58" s="104">
        <v>0</v>
      </c>
      <c r="N58" s="104">
        <v>0</v>
      </c>
      <c r="O58" s="104">
        <v>0</v>
      </c>
    </row>
    <row r="59" spans="1:15" x14ac:dyDescent="0.2">
      <c r="A59" s="55" t="s">
        <v>181</v>
      </c>
      <c r="B59" s="55" t="s">
        <v>206</v>
      </c>
      <c r="C59" s="55">
        <v>1</v>
      </c>
      <c r="D59" s="55" t="s">
        <v>183</v>
      </c>
      <c r="E59" s="55">
        <v>1</v>
      </c>
      <c r="F59" s="55">
        <v>3231</v>
      </c>
      <c r="G59" s="54" t="s">
        <v>288</v>
      </c>
      <c r="H59" s="104">
        <v>0</v>
      </c>
      <c r="I59" s="104">
        <v>7200</v>
      </c>
      <c r="J59" s="104">
        <v>7200</v>
      </c>
      <c r="K59" s="104">
        <v>0</v>
      </c>
      <c r="L59" s="104">
        <v>5800</v>
      </c>
      <c r="M59" s="104">
        <v>5800</v>
      </c>
      <c r="N59" s="104">
        <f>5800-4350</f>
        <v>1450</v>
      </c>
      <c r="O59" s="104">
        <v>0</v>
      </c>
    </row>
    <row r="60" spans="1:15" x14ac:dyDescent="0.2">
      <c r="A60" s="55" t="s">
        <v>181</v>
      </c>
      <c r="B60" s="55" t="s">
        <v>206</v>
      </c>
      <c r="C60" s="55">
        <v>1</v>
      </c>
      <c r="D60" s="55" t="s">
        <v>183</v>
      </c>
      <c r="E60" s="55">
        <v>1</v>
      </c>
      <c r="F60" s="55">
        <v>3311</v>
      </c>
      <c r="G60" s="54" t="s">
        <v>328</v>
      </c>
      <c r="H60" s="104">
        <v>150000</v>
      </c>
      <c r="I60" s="104">
        <v>-77200</v>
      </c>
      <c r="J60" s="104">
        <v>72800</v>
      </c>
      <c r="K60" s="104">
        <v>0</v>
      </c>
      <c r="L60" s="104">
        <v>0</v>
      </c>
      <c r="M60" s="104">
        <v>0</v>
      </c>
      <c r="N60" s="104">
        <v>0</v>
      </c>
      <c r="O60" s="104">
        <v>0</v>
      </c>
    </row>
    <row r="61" spans="1:15" x14ac:dyDescent="0.2">
      <c r="A61" s="55" t="s">
        <v>181</v>
      </c>
      <c r="B61" s="55" t="s">
        <v>206</v>
      </c>
      <c r="C61" s="55">
        <v>1</v>
      </c>
      <c r="D61" s="55" t="s">
        <v>183</v>
      </c>
      <c r="E61" s="55">
        <v>1</v>
      </c>
      <c r="F61" s="55">
        <v>3341</v>
      </c>
      <c r="G61" s="54" t="s">
        <v>329</v>
      </c>
      <c r="H61" s="104">
        <v>40000</v>
      </c>
      <c r="I61" s="104">
        <v>-20000</v>
      </c>
      <c r="J61" s="104">
        <v>20000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</row>
    <row r="62" spans="1:15" x14ac:dyDescent="0.2">
      <c r="A62" s="55" t="s">
        <v>181</v>
      </c>
      <c r="B62" s="55" t="s">
        <v>206</v>
      </c>
      <c r="C62" s="55">
        <v>1</v>
      </c>
      <c r="D62" s="55" t="s">
        <v>183</v>
      </c>
      <c r="E62" s="55">
        <v>1</v>
      </c>
      <c r="F62" s="55">
        <v>3391</v>
      </c>
      <c r="G62" s="54" t="s">
        <v>305</v>
      </c>
      <c r="H62" s="104">
        <v>350000</v>
      </c>
      <c r="I62" s="104">
        <v>-250000</v>
      </c>
      <c r="J62" s="104">
        <v>100000</v>
      </c>
      <c r="K62" s="104">
        <v>0</v>
      </c>
      <c r="L62" s="104">
        <v>122140</v>
      </c>
      <c r="M62" s="104">
        <v>122140</v>
      </c>
      <c r="N62" s="104">
        <f>122140-90045</f>
        <v>32095</v>
      </c>
      <c r="O62" s="104">
        <v>0</v>
      </c>
    </row>
    <row r="63" spans="1:15" x14ac:dyDescent="0.2">
      <c r="A63" s="55" t="s">
        <v>181</v>
      </c>
      <c r="B63" s="55" t="s">
        <v>206</v>
      </c>
      <c r="C63" s="55">
        <v>1</v>
      </c>
      <c r="D63" s="55" t="s">
        <v>183</v>
      </c>
      <c r="E63" s="55">
        <v>1</v>
      </c>
      <c r="F63" s="55">
        <v>3411</v>
      </c>
      <c r="G63" s="54" t="s">
        <v>330</v>
      </c>
      <c r="H63" s="104">
        <v>32000</v>
      </c>
      <c r="I63" s="104">
        <v>-7020</v>
      </c>
      <c r="J63" s="104">
        <v>24980</v>
      </c>
      <c r="K63" s="104">
        <v>0</v>
      </c>
      <c r="L63" s="104">
        <v>17247.41</v>
      </c>
      <c r="M63" s="104">
        <v>17247.41</v>
      </c>
      <c r="N63" s="104">
        <v>17247.41</v>
      </c>
      <c r="O63" s="104">
        <v>0</v>
      </c>
    </row>
    <row r="64" spans="1:15" x14ac:dyDescent="0.2">
      <c r="A64" s="55" t="s">
        <v>181</v>
      </c>
      <c r="B64" s="55" t="s">
        <v>206</v>
      </c>
      <c r="C64" s="55">
        <v>1</v>
      </c>
      <c r="D64" s="55" t="s">
        <v>183</v>
      </c>
      <c r="E64" s="55">
        <v>1</v>
      </c>
      <c r="F64" s="55">
        <v>3451</v>
      </c>
      <c r="G64" s="54" t="s">
        <v>331</v>
      </c>
      <c r="H64" s="104">
        <v>12000</v>
      </c>
      <c r="I64" s="104">
        <v>5000</v>
      </c>
      <c r="J64" s="104">
        <v>17000</v>
      </c>
      <c r="K64" s="104">
        <v>0</v>
      </c>
      <c r="L64" s="104">
        <v>16870.63</v>
      </c>
      <c r="M64" s="104">
        <v>16870.63</v>
      </c>
      <c r="N64" s="104">
        <v>16870.63</v>
      </c>
      <c r="O64" s="104">
        <v>0</v>
      </c>
    </row>
    <row r="65" spans="1:15" x14ac:dyDescent="0.2">
      <c r="A65" s="55" t="s">
        <v>181</v>
      </c>
      <c r="B65" s="55" t="s">
        <v>206</v>
      </c>
      <c r="C65" s="55">
        <v>1</v>
      </c>
      <c r="D65" s="55" t="s">
        <v>183</v>
      </c>
      <c r="E65" s="55">
        <v>1</v>
      </c>
      <c r="F65" s="55">
        <v>3521</v>
      </c>
      <c r="G65" s="54" t="s">
        <v>332</v>
      </c>
      <c r="H65" s="104">
        <v>5000</v>
      </c>
      <c r="I65" s="104">
        <v>-2934</v>
      </c>
      <c r="J65" s="104">
        <v>2066</v>
      </c>
      <c r="K65" s="104">
        <v>0</v>
      </c>
      <c r="L65" s="104">
        <v>2066</v>
      </c>
      <c r="M65" s="104">
        <v>2066</v>
      </c>
      <c r="N65" s="104">
        <v>2066</v>
      </c>
      <c r="O65" s="104">
        <v>0</v>
      </c>
    </row>
    <row r="66" spans="1:15" x14ac:dyDescent="0.2">
      <c r="A66" s="55" t="s">
        <v>181</v>
      </c>
      <c r="B66" s="55" t="s">
        <v>206</v>
      </c>
      <c r="C66" s="55">
        <v>1</v>
      </c>
      <c r="D66" s="55" t="s">
        <v>183</v>
      </c>
      <c r="E66" s="55">
        <v>1</v>
      </c>
      <c r="F66" s="55">
        <v>3551</v>
      </c>
      <c r="G66" s="54" t="s">
        <v>333</v>
      </c>
      <c r="H66" s="104">
        <v>20000</v>
      </c>
      <c r="I66" s="104">
        <v>-5000</v>
      </c>
      <c r="J66" s="104">
        <v>15000</v>
      </c>
      <c r="K66" s="104">
        <v>0</v>
      </c>
      <c r="L66" s="104">
        <v>10603</v>
      </c>
      <c r="M66" s="104">
        <v>10603</v>
      </c>
      <c r="N66" s="104">
        <f>10603-5250</f>
        <v>5353</v>
      </c>
      <c r="O66" s="104">
        <v>0</v>
      </c>
    </row>
    <row r="67" spans="1:15" x14ac:dyDescent="0.2">
      <c r="A67" s="55" t="s">
        <v>181</v>
      </c>
      <c r="B67" s="55" t="s">
        <v>206</v>
      </c>
      <c r="C67" s="55">
        <v>1</v>
      </c>
      <c r="D67" s="55" t="s">
        <v>183</v>
      </c>
      <c r="E67" s="55">
        <v>1</v>
      </c>
      <c r="F67" s="55">
        <v>3611</v>
      </c>
      <c r="G67" s="54" t="s">
        <v>334</v>
      </c>
      <c r="H67" s="104">
        <v>20000</v>
      </c>
      <c r="I67" s="104">
        <v>-7080</v>
      </c>
      <c r="J67" s="104">
        <v>12920</v>
      </c>
      <c r="K67" s="104">
        <v>0</v>
      </c>
      <c r="L67" s="104">
        <v>2784</v>
      </c>
      <c r="M67" s="104">
        <v>2784</v>
      </c>
      <c r="N67" s="104">
        <v>2784</v>
      </c>
      <c r="O67" s="104">
        <v>0</v>
      </c>
    </row>
    <row r="68" spans="1:15" x14ac:dyDescent="0.2">
      <c r="A68" s="55" t="s">
        <v>181</v>
      </c>
      <c r="B68" s="55" t="s">
        <v>206</v>
      </c>
      <c r="C68" s="55">
        <v>1</v>
      </c>
      <c r="D68" s="55" t="s">
        <v>183</v>
      </c>
      <c r="E68" s="55">
        <v>1</v>
      </c>
      <c r="F68" s="55">
        <v>3621</v>
      </c>
      <c r="G68" s="54" t="s">
        <v>309</v>
      </c>
      <c r="H68" s="104">
        <v>40000</v>
      </c>
      <c r="I68" s="104">
        <v>-12066</v>
      </c>
      <c r="J68" s="104">
        <v>27934</v>
      </c>
      <c r="K68" s="104">
        <v>0</v>
      </c>
      <c r="L68" s="104">
        <v>6586.48</v>
      </c>
      <c r="M68" s="104">
        <v>6586.48</v>
      </c>
      <c r="N68" s="104">
        <v>6586.48</v>
      </c>
      <c r="O68" s="104">
        <v>0</v>
      </c>
    </row>
    <row r="69" spans="1:15" x14ac:dyDescent="0.2">
      <c r="A69" s="55" t="s">
        <v>181</v>
      </c>
      <c r="B69" s="55" t="s">
        <v>206</v>
      </c>
      <c r="C69" s="55">
        <v>1</v>
      </c>
      <c r="D69" s="55" t="s">
        <v>183</v>
      </c>
      <c r="E69" s="55">
        <v>1</v>
      </c>
      <c r="F69" s="55">
        <v>3631</v>
      </c>
      <c r="G69" s="54" t="s">
        <v>335</v>
      </c>
      <c r="H69" s="104">
        <v>40000</v>
      </c>
      <c r="I69" s="104">
        <v>-25000</v>
      </c>
      <c r="J69" s="104">
        <v>15000</v>
      </c>
      <c r="K69" s="104">
        <v>0</v>
      </c>
      <c r="L69" s="104">
        <v>0</v>
      </c>
      <c r="M69" s="104">
        <v>0</v>
      </c>
      <c r="N69" s="104">
        <v>0</v>
      </c>
      <c r="O69" s="104">
        <v>0</v>
      </c>
    </row>
    <row r="70" spans="1:15" x14ac:dyDescent="0.2">
      <c r="A70" s="55" t="s">
        <v>181</v>
      </c>
      <c r="B70" s="55" t="s">
        <v>206</v>
      </c>
      <c r="C70" s="55">
        <v>1</v>
      </c>
      <c r="D70" s="55" t="s">
        <v>183</v>
      </c>
      <c r="E70" s="55">
        <v>1</v>
      </c>
      <c r="F70" s="55">
        <v>3661</v>
      </c>
      <c r="G70" s="54" t="s">
        <v>336</v>
      </c>
      <c r="H70" s="104">
        <v>30000</v>
      </c>
      <c r="I70" s="104">
        <v>-10000</v>
      </c>
      <c r="J70" s="104">
        <v>20000</v>
      </c>
      <c r="K70" s="104">
        <v>0</v>
      </c>
      <c r="L70" s="104">
        <v>6480</v>
      </c>
      <c r="M70" s="104">
        <v>6480</v>
      </c>
      <c r="N70" s="104">
        <v>6480</v>
      </c>
      <c r="O70" s="104">
        <v>0</v>
      </c>
    </row>
    <row r="71" spans="1:15" x14ac:dyDescent="0.2">
      <c r="A71" s="55" t="s">
        <v>181</v>
      </c>
      <c r="B71" s="55" t="s">
        <v>206</v>
      </c>
      <c r="C71" s="55">
        <v>1</v>
      </c>
      <c r="D71" s="55" t="s">
        <v>183</v>
      </c>
      <c r="E71" s="55">
        <v>1</v>
      </c>
      <c r="F71" s="55">
        <v>3691</v>
      </c>
      <c r="G71" s="54" t="s">
        <v>337</v>
      </c>
      <c r="H71" s="104">
        <v>6000</v>
      </c>
      <c r="I71" s="104">
        <v>0</v>
      </c>
      <c r="J71" s="104">
        <v>6000</v>
      </c>
      <c r="K71" s="104">
        <v>0</v>
      </c>
      <c r="L71" s="104">
        <v>3678</v>
      </c>
      <c r="M71" s="104">
        <v>3678</v>
      </c>
      <c r="N71" s="104">
        <v>3678</v>
      </c>
      <c r="O71" s="104">
        <v>0</v>
      </c>
    </row>
    <row r="72" spans="1:15" x14ac:dyDescent="0.2">
      <c r="A72" s="55" t="s">
        <v>181</v>
      </c>
      <c r="B72" s="55" t="s">
        <v>206</v>
      </c>
      <c r="C72" s="55">
        <v>1</v>
      </c>
      <c r="D72" s="55" t="s">
        <v>183</v>
      </c>
      <c r="E72" s="55">
        <v>1</v>
      </c>
      <c r="F72" s="55">
        <v>3721</v>
      </c>
      <c r="G72" s="54" t="s">
        <v>338</v>
      </c>
      <c r="H72" s="104">
        <v>6000</v>
      </c>
      <c r="I72" s="104">
        <v>-3000</v>
      </c>
      <c r="J72" s="104">
        <v>3000</v>
      </c>
      <c r="K72" s="104">
        <v>0</v>
      </c>
      <c r="L72" s="104">
        <v>0</v>
      </c>
      <c r="M72" s="104">
        <v>0</v>
      </c>
      <c r="N72" s="104">
        <v>0</v>
      </c>
      <c r="O72" s="104">
        <v>0</v>
      </c>
    </row>
    <row r="73" spans="1:15" x14ac:dyDescent="0.2">
      <c r="A73" s="55" t="s">
        <v>181</v>
      </c>
      <c r="B73" s="55" t="s">
        <v>206</v>
      </c>
      <c r="C73" s="55">
        <v>1</v>
      </c>
      <c r="D73" s="55" t="s">
        <v>183</v>
      </c>
      <c r="E73" s="55">
        <v>1</v>
      </c>
      <c r="F73" s="55">
        <v>3751</v>
      </c>
      <c r="G73" s="54" t="s">
        <v>339</v>
      </c>
      <c r="H73" s="104">
        <v>50000</v>
      </c>
      <c r="I73" s="104">
        <v>-23000</v>
      </c>
      <c r="J73" s="104">
        <v>27000</v>
      </c>
      <c r="K73" s="104">
        <v>0</v>
      </c>
      <c r="L73" s="104">
        <v>923.91</v>
      </c>
      <c r="M73" s="104">
        <v>923.91</v>
      </c>
      <c r="N73" s="104">
        <v>0</v>
      </c>
      <c r="O73" s="104">
        <v>0</v>
      </c>
    </row>
    <row r="74" spans="1:15" x14ac:dyDescent="0.2">
      <c r="A74" s="55" t="s">
        <v>181</v>
      </c>
      <c r="B74" s="55" t="s">
        <v>206</v>
      </c>
      <c r="C74" s="55">
        <v>1</v>
      </c>
      <c r="D74" s="55" t="s">
        <v>183</v>
      </c>
      <c r="E74" s="55">
        <v>1</v>
      </c>
      <c r="F74" s="55">
        <v>3791</v>
      </c>
      <c r="G74" s="54" t="s">
        <v>233</v>
      </c>
      <c r="H74" s="104">
        <v>5000</v>
      </c>
      <c r="I74" s="104">
        <v>-2000</v>
      </c>
      <c r="J74" s="104">
        <v>3000</v>
      </c>
      <c r="K74" s="104">
        <v>0</v>
      </c>
      <c r="L74" s="104">
        <v>1194.81</v>
      </c>
      <c r="M74" s="104">
        <v>1194.81</v>
      </c>
      <c r="N74" s="104">
        <v>1194.81</v>
      </c>
      <c r="O74" s="104">
        <v>0</v>
      </c>
    </row>
    <row r="75" spans="1:15" x14ac:dyDescent="0.2">
      <c r="A75" s="55" t="s">
        <v>181</v>
      </c>
      <c r="B75" s="55" t="s">
        <v>206</v>
      </c>
      <c r="C75" s="55">
        <v>1</v>
      </c>
      <c r="D75" s="55" t="s">
        <v>183</v>
      </c>
      <c r="E75" s="55">
        <v>1</v>
      </c>
      <c r="F75" s="55">
        <v>3852</v>
      </c>
      <c r="G75" s="54" t="s">
        <v>340</v>
      </c>
      <c r="H75" s="104">
        <v>60000</v>
      </c>
      <c r="I75" s="104">
        <v>-10000</v>
      </c>
      <c r="J75" s="104">
        <v>50000</v>
      </c>
      <c r="K75" s="104">
        <v>0</v>
      </c>
      <c r="L75" s="104">
        <v>55777.11</v>
      </c>
      <c r="M75" s="104">
        <v>55777.11</v>
      </c>
      <c r="N75" s="104">
        <f>55777.11-15555.75</f>
        <v>40221.360000000001</v>
      </c>
      <c r="O75" s="104">
        <v>0</v>
      </c>
    </row>
    <row r="76" spans="1:15" x14ac:dyDescent="0.2">
      <c r="A76" s="55" t="s">
        <v>181</v>
      </c>
      <c r="B76" s="55" t="s">
        <v>206</v>
      </c>
      <c r="C76" s="55">
        <v>1</v>
      </c>
      <c r="D76" s="55" t="s">
        <v>183</v>
      </c>
      <c r="E76" s="55">
        <v>1</v>
      </c>
      <c r="F76" s="55">
        <v>3853</v>
      </c>
      <c r="G76" s="54" t="s">
        <v>341</v>
      </c>
      <c r="H76" s="104">
        <v>40000</v>
      </c>
      <c r="I76" s="104">
        <v>-24000</v>
      </c>
      <c r="J76" s="104">
        <v>16000</v>
      </c>
      <c r="K76" s="104">
        <v>0</v>
      </c>
      <c r="L76" s="104">
        <v>0</v>
      </c>
      <c r="M76" s="104">
        <v>0</v>
      </c>
      <c r="N76" s="104">
        <v>0</v>
      </c>
      <c r="O76" s="104">
        <v>0</v>
      </c>
    </row>
    <row r="77" spans="1:15" x14ac:dyDescent="0.2">
      <c r="A77" s="55" t="s">
        <v>181</v>
      </c>
      <c r="B77" s="55" t="s">
        <v>206</v>
      </c>
      <c r="C77" s="55">
        <v>1</v>
      </c>
      <c r="D77" s="55" t="s">
        <v>183</v>
      </c>
      <c r="E77" s="55">
        <v>1</v>
      </c>
      <c r="F77" s="55">
        <v>3921</v>
      </c>
      <c r="G77" s="54" t="s">
        <v>236</v>
      </c>
      <c r="H77" s="104">
        <v>20000</v>
      </c>
      <c r="I77" s="104">
        <v>0</v>
      </c>
      <c r="J77" s="104">
        <v>20000</v>
      </c>
      <c r="K77" s="104">
        <v>0</v>
      </c>
      <c r="L77" s="104">
        <v>73243.490000000005</v>
      </c>
      <c r="M77" s="104">
        <v>73243.490000000005</v>
      </c>
      <c r="N77" s="104">
        <f>73243.49-38664</f>
        <v>34579.490000000005</v>
      </c>
      <c r="O77" s="104">
        <v>0</v>
      </c>
    </row>
    <row r="78" spans="1:15" x14ac:dyDescent="0.2">
      <c r="A78" s="55" t="s">
        <v>181</v>
      </c>
      <c r="B78" s="55" t="s">
        <v>206</v>
      </c>
      <c r="C78" s="55">
        <v>1</v>
      </c>
      <c r="D78" s="55" t="s">
        <v>183</v>
      </c>
      <c r="E78" s="55">
        <v>1</v>
      </c>
      <c r="F78" s="55">
        <v>3981</v>
      </c>
      <c r="G78" s="54" t="s">
        <v>342</v>
      </c>
      <c r="H78" s="104">
        <v>40114.83</v>
      </c>
      <c r="I78" s="104">
        <v>-3114.83</v>
      </c>
      <c r="J78" s="104">
        <v>37000</v>
      </c>
      <c r="K78" s="104">
        <v>0</v>
      </c>
      <c r="L78" s="104">
        <v>39748.19</v>
      </c>
      <c r="M78" s="104">
        <v>39748.19</v>
      </c>
      <c r="N78" s="104">
        <f>39748.19-1885.41</f>
        <v>37862.78</v>
      </c>
      <c r="O78" s="104">
        <v>0</v>
      </c>
    </row>
    <row r="79" spans="1:15" x14ac:dyDescent="0.2">
      <c r="A79" s="55" t="s">
        <v>181</v>
      </c>
      <c r="B79" s="55" t="s">
        <v>206</v>
      </c>
      <c r="C79" s="55">
        <v>1</v>
      </c>
      <c r="D79" s="55" t="s">
        <v>183</v>
      </c>
      <c r="E79" s="55">
        <v>1</v>
      </c>
      <c r="F79" s="55">
        <v>9911</v>
      </c>
      <c r="G79" s="54" t="s">
        <v>286</v>
      </c>
      <c r="H79" s="104">
        <v>0</v>
      </c>
      <c r="I79" s="104">
        <v>6730760</v>
      </c>
      <c r="J79" s="104">
        <v>6730760</v>
      </c>
      <c r="K79" s="104">
        <v>0</v>
      </c>
      <c r="L79" s="104">
        <v>0</v>
      </c>
      <c r="M79" s="104">
        <v>0</v>
      </c>
      <c r="N79" s="104">
        <v>0</v>
      </c>
      <c r="O79" s="104">
        <v>0</v>
      </c>
    </row>
    <row r="80" spans="1:15" x14ac:dyDescent="0.2">
      <c r="A80" s="55" t="s">
        <v>181</v>
      </c>
      <c r="B80" s="55" t="s">
        <v>206</v>
      </c>
      <c r="C80" s="55">
        <v>1</v>
      </c>
      <c r="D80" s="55" t="s">
        <v>183</v>
      </c>
      <c r="E80" s="55">
        <v>1</v>
      </c>
      <c r="F80" s="55">
        <v>3321</v>
      </c>
      <c r="G80" s="54" t="s">
        <v>343</v>
      </c>
      <c r="H80" s="104">
        <v>8000000</v>
      </c>
      <c r="I80" s="104">
        <v>0</v>
      </c>
      <c r="J80" s="104">
        <v>8000000</v>
      </c>
      <c r="K80" s="104">
        <v>0</v>
      </c>
      <c r="L80" s="104">
        <v>0</v>
      </c>
      <c r="M80" s="104">
        <v>0</v>
      </c>
      <c r="N80" s="104">
        <v>0</v>
      </c>
      <c r="O80" s="104">
        <v>0</v>
      </c>
    </row>
    <row r="81" spans="1:15" x14ac:dyDescent="0.2">
      <c r="A81" s="55" t="s">
        <v>181</v>
      </c>
      <c r="B81" s="55" t="s">
        <v>206</v>
      </c>
      <c r="C81" s="55">
        <v>1</v>
      </c>
      <c r="D81" s="55" t="s">
        <v>183</v>
      </c>
      <c r="E81" s="55">
        <v>1</v>
      </c>
      <c r="F81" s="55">
        <v>3411</v>
      </c>
      <c r="G81" s="54" t="s">
        <v>330</v>
      </c>
      <c r="H81" s="104">
        <v>0</v>
      </c>
      <c r="I81" s="104">
        <v>550000</v>
      </c>
      <c r="J81" s="104">
        <v>550000</v>
      </c>
      <c r="K81" s="104">
        <v>0</v>
      </c>
      <c r="L81" s="104">
        <v>526751.76</v>
      </c>
      <c r="M81" s="104">
        <v>526751.76</v>
      </c>
      <c r="N81" s="104">
        <v>526751.76</v>
      </c>
      <c r="O81" s="104">
        <v>0</v>
      </c>
    </row>
    <row r="82" spans="1:15" x14ac:dyDescent="0.2">
      <c r="A82" s="55" t="s">
        <v>181</v>
      </c>
      <c r="B82" s="55" t="s">
        <v>206</v>
      </c>
      <c r="C82" s="55">
        <v>1</v>
      </c>
      <c r="D82" s="55" t="s">
        <v>183</v>
      </c>
      <c r="E82" s="55">
        <v>2</v>
      </c>
      <c r="G82" s="54" t="s">
        <v>312</v>
      </c>
      <c r="H82" s="104">
        <v>8000000</v>
      </c>
      <c r="I82" s="104">
        <v>0</v>
      </c>
      <c r="J82" s="104">
        <v>8000000</v>
      </c>
      <c r="K82" s="104">
        <v>0</v>
      </c>
      <c r="L82" s="104">
        <v>0</v>
      </c>
      <c r="M82" s="104">
        <v>0</v>
      </c>
      <c r="N82" s="104">
        <v>0</v>
      </c>
      <c r="O82" s="104">
        <v>0</v>
      </c>
    </row>
    <row r="83" spans="1:15" x14ac:dyDescent="0.2">
      <c r="A83" s="55" t="s">
        <v>181</v>
      </c>
      <c r="B83" s="55" t="s">
        <v>206</v>
      </c>
      <c r="C83" s="55">
        <v>1</v>
      </c>
      <c r="D83" s="55" t="s">
        <v>183</v>
      </c>
      <c r="E83" s="55">
        <v>2</v>
      </c>
      <c r="F83" s="55">
        <v>6221</v>
      </c>
      <c r="G83" s="54" t="s">
        <v>344</v>
      </c>
      <c r="H83" s="104">
        <v>8000000</v>
      </c>
      <c r="I83" s="104">
        <v>0</v>
      </c>
      <c r="J83" s="104">
        <v>8000000</v>
      </c>
      <c r="K83" s="104">
        <v>0</v>
      </c>
      <c r="L83" s="104">
        <v>0</v>
      </c>
      <c r="M83" s="104">
        <v>0</v>
      </c>
      <c r="N83" s="104">
        <v>0</v>
      </c>
      <c r="O83" s="104">
        <v>0</v>
      </c>
    </row>
    <row r="84" spans="1:15" x14ac:dyDescent="0.2">
      <c r="A84" s="55" t="s">
        <v>181</v>
      </c>
      <c r="B84" s="55" t="s">
        <v>206</v>
      </c>
      <c r="C84" s="55">
        <v>4</v>
      </c>
      <c r="D84" s="55" t="s">
        <v>183</v>
      </c>
      <c r="E84" s="55">
        <v>2</v>
      </c>
      <c r="F84" s="55">
        <v>5151</v>
      </c>
      <c r="G84" s="54" t="s">
        <v>345</v>
      </c>
      <c r="H84" s="104">
        <v>40000</v>
      </c>
      <c r="I84" s="104">
        <v>0</v>
      </c>
      <c r="J84" s="104">
        <v>40000</v>
      </c>
      <c r="K84" s="104">
        <v>0</v>
      </c>
      <c r="L84" s="104">
        <v>0</v>
      </c>
      <c r="M84" s="104">
        <v>0</v>
      </c>
      <c r="N84" s="104"/>
      <c r="O84" s="104">
        <v>0</v>
      </c>
    </row>
    <row r="85" spans="1:15" x14ac:dyDescent="0.2">
      <c r="A85" s="55" t="s">
        <v>181</v>
      </c>
      <c r="B85" s="55" t="s">
        <v>206</v>
      </c>
      <c r="C85" s="55">
        <v>4</v>
      </c>
      <c r="D85" s="55" t="s">
        <v>183</v>
      </c>
      <c r="E85" s="55">
        <v>2</v>
      </c>
      <c r="F85" s="55">
        <v>5691</v>
      </c>
      <c r="G85" s="54" t="s">
        <v>313</v>
      </c>
      <c r="H85" s="104">
        <v>0</v>
      </c>
      <c r="I85" s="104">
        <v>0</v>
      </c>
      <c r="J85" s="104">
        <v>0</v>
      </c>
      <c r="K85" s="104">
        <v>0</v>
      </c>
      <c r="L85" s="104">
        <v>473280</v>
      </c>
      <c r="M85" s="104">
        <v>473280</v>
      </c>
      <c r="N85" s="104">
        <f>473280-16000</f>
        <v>457280</v>
      </c>
      <c r="O85" s="104">
        <v>0</v>
      </c>
    </row>
    <row r="86" spans="1:15" x14ac:dyDescent="0.2">
      <c r="A86" s="55" t="s">
        <v>181</v>
      </c>
      <c r="B86" s="55" t="s">
        <v>206</v>
      </c>
      <c r="C86" s="55">
        <v>4</v>
      </c>
      <c r="D86" s="55" t="s">
        <v>183</v>
      </c>
      <c r="E86" s="55">
        <v>2</v>
      </c>
      <c r="F86" s="55">
        <v>6221</v>
      </c>
      <c r="G86" s="54" t="s">
        <v>344</v>
      </c>
      <c r="H86" s="104">
        <v>8000000</v>
      </c>
      <c r="I86" s="104">
        <v>0</v>
      </c>
      <c r="J86" s="104">
        <v>8000000</v>
      </c>
      <c r="K86" s="104">
        <v>0</v>
      </c>
      <c r="L86" s="104">
        <v>0</v>
      </c>
      <c r="M86" s="104">
        <v>0</v>
      </c>
      <c r="N86" s="104">
        <v>0</v>
      </c>
      <c r="O86" s="104">
        <v>0</v>
      </c>
    </row>
    <row r="87" spans="1:15" x14ac:dyDescent="0.2">
      <c r="A87" s="55" t="s">
        <v>181</v>
      </c>
      <c r="B87" s="55" t="s">
        <v>206</v>
      </c>
      <c r="C87" s="55">
        <v>6</v>
      </c>
      <c r="G87" s="54" t="s">
        <v>314</v>
      </c>
      <c r="H87" s="104">
        <v>25000000</v>
      </c>
      <c r="I87" s="104">
        <v>0</v>
      </c>
      <c r="J87" s="104">
        <v>25000000</v>
      </c>
      <c r="K87" s="104">
        <v>0</v>
      </c>
      <c r="L87" s="104">
        <v>0</v>
      </c>
      <c r="M87" s="104">
        <v>0</v>
      </c>
      <c r="N87" s="104">
        <v>0</v>
      </c>
      <c r="O87" s="104">
        <v>0</v>
      </c>
    </row>
    <row r="88" spans="1:15" x14ac:dyDescent="0.2">
      <c r="A88" s="55" t="s">
        <v>181</v>
      </c>
      <c r="B88" s="55" t="s">
        <v>206</v>
      </c>
      <c r="C88" s="55">
        <v>6</v>
      </c>
      <c r="D88" s="55" t="s">
        <v>183</v>
      </c>
      <c r="G88" s="54" t="s">
        <v>295</v>
      </c>
      <c r="H88" s="104">
        <v>25000000</v>
      </c>
      <c r="I88" s="104">
        <v>0</v>
      </c>
      <c r="J88" s="104">
        <v>25000000</v>
      </c>
      <c r="K88" s="104">
        <v>0</v>
      </c>
      <c r="L88" s="104">
        <v>0</v>
      </c>
      <c r="M88" s="104">
        <v>0</v>
      </c>
      <c r="N88" s="104">
        <v>0</v>
      </c>
      <c r="O88" s="104">
        <v>0</v>
      </c>
    </row>
    <row r="89" spans="1:15" x14ac:dyDescent="0.2">
      <c r="A89" s="55" t="s">
        <v>181</v>
      </c>
      <c r="B89" s="55" t="s">
        <v>206</v>
      </c>
      <c r="C89" s="55">
        <v>6</v>
      </c>
      <c r="D89" s="55" t="s">
        <v>183</v>
      </c>
      <c r="E89" s="55">
        <v>2</v>
      </c>
      <c r="G89" s="54" t="s">
        <v>312</v>
      </c>
      <c r="H89" s="104">
        <v>25000000</v>
      </c>
      <c r="I89" s="104">
        <v>0</v>
      </c>
      <c r="J89" s="104">
        <v>25000000</v>
      </c>
      <c r="K89" s="104">
        <v>0</v>
      </c>
      <c r="L89" s="104">
        <v>0</v>
      </c>
      <c r="M89" s="104">
        <v>0</v>
      </c>
      <c r="N89" s="104">
        <v>0</v>
      </c>
      <c r="O89" s="104">
        <v>0</v>
      </c>
    </row>
    <row r="90" spans="1:15" x14ac:dyDescent="0.2">
      <c r="A90" s="55" t="s">
        <v>181</v>
      </c>
      <c r="B90" s="55" t="s">
        <v>206</v>
      </c>
      <c r="C90" s="55">
        <v>6</v>
      </c>
      <c r="D90" s="55" t="s">
        <v>183</v>
      </c>
      <c r="E90" s="55">
        <v>2</v>
      </c>
      <c r="F90" s="55">
        <v>6221</v>
      </c>
      <c r="G90" s="54" t="s">
        <v>344</v>
      </c>
      <c r="H90" s="104">
        <v>25000000</v>
      </c>
      <c r="I90" s="104">
        <v>0</v>
      </c>
      <c r="J90" s="104">
        <v>25000000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</row>
    <row r="91" spans="1:15" x14ac:dyDescent="0.2">
      <c r="A91" s="55" t="s">
        <v>181</v>
      </c>
      <c r="B91" s="55" t="s">
        <v>245</v>
      </c>
      <c r="G91" s="54" t="s">
        <v>244</v>
      </c>
      <c r="H91" s="104">
        <v>763206</v>
      </c>
      <c r="I91" s="104">
        <v>-182248.53</v>
      </c>
      <c r="J91" s="104">
        <v>580957.47</v>
      </c>
      <c r="K91" s="104">
        <v>0</v>
      </c>
      <c r="L91" s="104">
        <v>402159.92</v>
      </c>
      <c r="M91" s="104">
        <v>402159.92</v>
      </c>
      <c r="N91" s="104">
        <f>402159.92-6585.12-3696.58-9288.93</f>
        <v>382589.29</v>
      </c>
      <c r="O91" s="104">
        <v>0</v>
      </c>
    </row>
    <row r="92" spans="1:15" x14ac:dyDescent="0.2">
      <c r="A92" s="55" t="s">
        <v>181</v>
      </c>
      <c r="B92" s="55" t="s">
        <v>245</v>
      </c>
      <c r="C92" s="55">
        <v>1</v>
      </c>
      <c r="D92" s="55" t="s">
        <v>246</v>
      </c>
      <c r="E92" s="55">
        <v>1</v>
      </c>
      <c r="F92" s="55">
        <v>1131</v>
      </c>
      <c r="G92" s="54" t="s">
        <v>207</v>
      </c>
      <c r="H92" s="104">
        <v>307344</v>
      </c>
      <c r="I92" s="104">
        <v>-79116</v>
      </c>
      <c r="J92" s="104">
        <v>228228</v>
      </c>
      <c r="K92" s="104">
        <v>0</v>
      </c>
      <c r="L92" s="104">
        <v>230763.89</v>
      </c>
      <c r="M92" s="104">
        <v>230763.89</v>
      </c>
      <c r="N92" s="104">
        <v>230763.89</v>
      </c>
      <c r="O92" s="104">
        <v>0</v>
      </c>
    </row>
    <row r="93" spans="1:15" x14ac:dyDescent="0.2">
      <c r="A93" s="55" t="s">
        <v>181</v>
      </c>
      <c r="B93" s="55" t="s">
        <v>245</v>
      </c>
      <c r="C93" s="55">
        <v>1</v>
      </c>
      <c r="D93" s="55" t="s">
        <v>246</v>
      </c>
      <c r="E93" s="55">
        <v>1</v>
      </c>
      <c r="F93" s="55">
        <v>1321</v>
      </c>
      <c r="G93" s="54" t="s">
        <v>208</v>
      </c>
      <c r="H93" s="104">
        <v>7939.72</v>
      </c>
      <c r="I93" s="104">
        <v>-2043.51</v>
      </c>
      <c r="J93" s="104">
        <v>5896.21</v>
      </c>
      <c r="K93" s="104">
        <v>0</v>
      </c>
      <c r="L93" s="104">
        <v>5895.91</v>
      </c>
      <c r="M93" s="104">
        <v>5895.91</v>
      </c>
      <c r="N93" s="104">
        <v>5895.91</v>
      </c>
      <c r="O93" s="104">
        <v>0</v>
      </c>
    </row>
    <row r="94" spans="1:15" x14ac:dyDescent="0.2">
      <c r="A94" s="55" t="s">
        <v>181</v>
      </c>
      <c r="B94" s="55" t="s">
        <v>245</v>
      </c>
      <c r="C94" s="55">
        <v>1</v>
      </c>
      <c r="D94" s="55" t="s">
        <v>246</v>
      </c>
      <c r="E94" s="55">
        <v>1</v>
      </c>
      <c r="F94" s="55">
        <v>1323</v>
      </c>
      <c r="G94" s="54" t="s">
        <v>316</v>
      </c>
      <c r="H94" s="104">
        <v>42686.67</v>
      </c>
      <c r="I94" s="104">
        <v>-10988.34</v>
      </c>
      <c r="J94" s="104">
        <v>31698.33</v>
      </c>
      <c r="K94" s="104">
        <v>0</v>
      </c>
      <c r="L94" s="104">
        <v>31698.33</v>
      </c>
      <c r="M94" s="104">
        <v>31698.33</v>
      </c>
      <c r="N94" s="104">
        <v>31698.33</v>
      </c>
      <c r="O94" s="104">
        <v>0</v>
      </c>
    </row>
    <row r="95" spans="1:15" x14ac:dyDescent="0.2">
      <c r="A95" s="55" t="s">
        <v>181</v>
      </c>
      <c r="B95" s="55" t="s">
        <v>245</v>
      </c>
      <c r="C95" s="55">
        <v>1</v>
      </c>
      <c r="D95" s="55" t="s">
        <v>246</v>
      </c>
      <c r="E95" s="55">
        <v>1</v>
      </c>
      <c r="F95" s="55">
        <v>1413</v>
      </c>
      <c r="G95" s="54" t="s">
        <v>189</v>
      </c>
      <c r="H95" s="104">
        <v>33831.449999999997</v>
      </c>
      <c r="I95" s="104">
        <v>-10872.28</v>
      </c>
      <c r="J95" s="104">
        <v>22959.17</v>
      </c>
      <c r="K95" s="104">
        <v>0</v>
      </c>
      <c r="L95" s="104">
        <v>23398.38</v>
      </c>
      <c r="M95" s="104">
        <v>23398.38</v>
      </c>
      <c r="N95" s="104">
        <f>23398.38-2022.23</f>
        <v>21376.15</v>
      </c>
      <c r="O95" s="104">
        <v>0</v>
      </c>
    </row>
    <row r="96" spans="1:15" x14ac:dyDescent="0.2">
      <c r="A96" s="55" t="s">
        <v>181</v>
      </c>
      <c r="B96" s="55" t="s">
        <v>245</v>
      </c>
      <c r="C96" s="55">
        <v>1</v>
      </c>
      <c r="D96" s="55" t="s">
        <v>246</v>
      </c>
      <c r="E96" s="55">
        <v>1</v>
      </c>
      <c r="F96" s="55">
        <v>1421</v>
      </c>
      <c r="G96" s="54" t="s">
        <v>190</v>
      </c>
      <c r="H96" s="104">
        <v>18459.310000000001</v>
      </c>
      <c r="I96" s="104">
        <v>-4751.7700000000004</v>
      </c>
      <c r="J96" s="104">
        <v>13707.54</v>
      </c>
      <c r="K96" s="104">
        <v>0</v>
      </c>
      <c r="L96" s="104">
        <v>13449.53</v>
      </c>
      <c r="M96" s="104">
        <v>13449.53</v>
      </c>
      <c r="N96" s="104">
        <f>13449.53-2247.73</f>
        <v>11201.800000000001</v>
      </c>
      <c r="O96" s="104">
        <v>0</v>
      </c>
    </row>
    <row r="97" spans="1:15" x14ac:dyDescent="0.2">
      <c r="A97" s="55" t="s">
        <v>181</v>
      </c>
      <c r="B97" s="55" t="s">
        <v>245</v>
      </c>
      <c r="C97" s="55">
        <v>1</v>
      </c>
      <c r="D97" s="55" t="s">
        <v>246</v>
      </c>
      <c r="E97" s="55">
        <v>1</v>
      </c>
      <c r="F97" s="55">
        <v>1431</v>
      </c>
      <c r="G97" s="54" t="s">
        <v>301</v>
      </c>
      <c r="H97" s="104">
        <v>19013.080000000002</v>
      </c>
      <c r="I97" s="104">
        <v>-4894.3100000000004</v>
      </c>
      <c r="J97" s="104">
        <v>14118.77</v>
      </c>
      <c r="K97" s="104">
        <v>0</v>
      </c>
      <c r="L97" s="104">
        <v>13853</v>
      </c>
      <c r="M97" s="104">
        <v>13853</v>
      </c>
      <c r="N97" s="104">
        <f>13853-2315.16</f>
        <v>11537.84</v>
      </c>
      <c r="O97" s="104">
        <v>0</v>
      </c>
    </row>
    <row r="98" spans="1:15" x14ac:dyDescent="0.2">
      <c r="A98" s="55" t="s">
        <v>181</v>
      </c>
      <c r="B98" s="55" t="s">
        <v>245</v>
      </c>
      <c r="C98" s="55">
        <v>1</v>
      </c>
      <c r="D98" s="55" t="s">
        <v>246</v>
      </c>
      <c r="E98" s="55">
        <v>1</v>
      </c>
      <c r="F98" s="55">
        <v>1511</v>
      </c>
      <c r="G98" s="54" t="s">
        <v>317</v>
      </c>
      <c r="H98" s="104">
        <v>6146.88</v>
      </c>
      <c r="I98" s="104">
        <v>-1582.32</v>
      </c>
      <c r="J98" s="104">
        <v>4564.5600000000004</v>
      </c>
      <c r="K98" s="104">
        <v>0</v>
      </c>
      <c r="L98" s="104">
        <v>4615.26</v>
      </c>
      <c r="M98" s="104">
        <v>4615.26</v>
      </c>
      <c r="N98" s="104">
        <v>4615.26</v>
      </c>
      <c r="O98" s="104">
        <v>0</v>
      </c>
    </row>
    <row r="99" spans="1:15" x14ac:dyDescent="0.2">
      <c r="A99" s="55" t="s">
        <v>181</v>
      </c>
      <c r="B99" s="55" t="s">
        <v>245</v>
      </c>
      <c r="C99" s="55">
        <v>1</v>
      </c>
      <c r="D99" s="55" t="s">
        <v>246</v>
      </c>
      <c r="E99" s="55">
        <v>1</v>
      </c>
      <c r="F99" s="55">
        <v>2111</v>
      </c>
      <c r="G99" s="54" t="s">
        <v>319</v>
      </c>
      <c r="H99" s="104">
        <v>10000</v>
      </c>
      <c r="I99" s="104">
        <v>-3000</v>
      </c>
      <c r="J99" s="104">
        <v>7000</v>
      </c>
      <c r="K99" s="104">
        <v>0</v>
      </c>
      <c r="L99" s="104">
        <v>3456.03</v>
      </c>
      <c r="M99" s="104">
        <v>3456.03</v>
      </c>
      <c r="N99" s="104">
        <f>3456.03-2222.44</f>
        <v>1233.5900000000001</v>
      </c>
      <c r="O99" s="104">
        <v>0</v>
      </c>
    </row>
    <row r="100" spans="1:15" x14ac:dyDescent="0.2">
      <c r="A100" s="55" t="s">
        <v>181</v>
      </c>
      <c r="B100" s="55" t="s">
        <v>245</v>
      </c>
      <c r="C100" s="55">
        <v>1</v>
      </c>
      <c r="D100" s="55" t="s">
        <v>246</v>
      </c>
      <c r="E100" s="55">
        <v>1</v>
      </c>
      <c r="F100" s="55">
        <v>2112</v>
      </c>
      <c r="G100" s="54" t="s">
        <v>320</v>
      </c>
      <c r="H100" s="104">
        <v>4500</v>
      </c>
      <c r="I100" s="104">
        <v>-4500</v>
      </c>
      <c r="J100" s="104">
        <v>0</v>
      </c>
      <c r="K100" s="104">
        <v>0</v>
      </c>
      <c r="L100" s="104">
        <v>0</v>
      </c>
      <c r="M100" s="104">
        <v>0</v>
      </c>
      <c r="N100" s="104">
        <v>0</v>
      </c>
      <c r="O100" s="104">
        <v>0</v>
      </c>
    </row>
    <row r="101" spans="1:15" x14ac:dyDescent="0.2">
      <c r="A101" s="55" t="s">
        <v>181</v>
      </c>
      <c r="B101" s="55" t="s">
        <v>245</v>
      </c>
      <c r="C101" s="55">
        <v>1</v>
      </c>
      <c r="D101" s="55" t="s">
        <v>246</v>
      </c>
      <c r="E101" s="55">
        <v>1</v>
      </c>
      <c r="F101" s="55">
        <v>2121</v>
      </c>
      <c r="G101" s="54" t="s">
        <v>321</v>
      </c>
      <c r="H101" s="104">
        <v>6000</v>
      </c>
      <c r="I101" s="104">
        <v>-3000</v>
      </c>
      <c r="J101" s="104">
        <v>3000</v>
      </c>
      <c r="K101" s="104">
        <v>0</v>
      </c>
      <c r="L101" s="104">
        <v>652</v>
      </c>
      <c r="M101" s="104">
        <v>652</v>
      </c>
      <c r="N101" s="104">
        <v>652</v>
      </c>
      <c r="O101" s="104">
        <v>0</v>
      </c>
    </row>
    <row r="102" spans="1:15" x14ac:dyDescent="0.2">
      <c r="A102" s="55" t="s">
        <v>181</v>
      </c>
      <c r="B102" s="55" t="s">
        <v>245</v>
      </c>
      <c r="C102" s="55">
        <v>1</v>
      </c>
      <c r="D102" s="55" t="s">
        <v>246</v>
      </c>
      <c r="E102" s="55">
        <v>1</v>
      </c>
      <c r="F102" s="55">
        <v>2212</v>
      </c>
      <c r="G102" s="54" t="s">
        <v>302</v>
      </c>
      <c r="H102" s="104">
        <v>10000</v>
      </c>
      <c r="I102" s="104">
        <v>-3000</v>
      </c>
      <c r="J102" s="104">
        <v>7000</v>
      </c>
      <c r="K102" s="104">
        <v>0</v>
      </c>
      <c r="L102" s="104">
        <v>2917.26</v>
      </c>
      <c r="M102" s="104">
        <v>2917.26</v>
      </c>
      <c r="N102" s="104">
        <v>2917.26</v>
      </c>
      <c r="O102" s="104">
        <v>0</v>
      </c>
    </row>
    <row r="103" spans="1:15" x14ac:dyDescent="0.2">
      <c r="A103" s="55" t="s">
        <v>181</v>
      </c>
      <c r="B103" s="55" t="s">
        <v>245</v>
      </c>
      <c r="C103" s="55">
        <v>1</v>
      </c>
      <c r="D103" s="55" t="s">
        <v>246</v>
      </c>
      <c r="E103" s="55">
        <v>1</v>
      </c>
      <c r="F103" s="55">
        <v>2612</v>
      </c>
      <c r="G103" s="54" t="s">
        <v>322</v>
      </c>
      <c r="H103" s="104">
        <v>40000</v>
      </c>
      <c r="I103" s="104">
        <v>-15000</v>
      </c>
      <c r="J103" s="104">
        <v>25000</v>
      </c>
      <c r="K103" s="104">
        <v>0</v>
      </c>
      <c r="L103" s="104">
        <v>25039.19</v>
      </c>
      <c r="M103" s="104">
        <v>25039.19</v>
      </c>
      <c r="N103" s="104">
        <f>25039.19-2222.44</f>
        <v>22816.75</v>
      </c>
      <c r="O103" s="104">
        <v>0</v>
      </c>
    </row>
    <row r="104" spans="1:15" x14ac:dyDescent="0.2">
      <c r="A104" s="55" t="s">
        <v>181</v>
      </c>
      <c r="B104" s="55" t="s">
        <v>245</v>
      </c>
      <c r="C104" s="55">
        <v>1</v>
      </c>
      <c r="D104" s="55" t="s">
        <v>246</v>
      </c>
      <c r="E104" s="55">
        <v>1</v>
      </c>
      <c r="F104" s="55">
        <v>2941</v>
      </c>
      <c r="G104" s="54" t="s">
        <v>324</v>
      </c>
      <c r="H104" s="104">
        <v>3000</v>
      </c>
      <c r="I104" s="104">
        <v>0</v>
      </c>
      <c r="J104" s="104">
        <v>3000</v>
      </c>
      <c r="K104" s="104">
        <v>0</v>
      </c>
      <c r="L104" s="104">
        <v>0</v>
      </c>
      <c r="M104" s="104">
        <v>0</v>
      </c>
      <c r="N104" s="104">
        <v>0</v>
      </c>
      <c r="O104" s="104">
        <v>0</v>
      </c>
    </row>
    <row r="105" spans="1:15" x14ac:dyDescent="0.2">
      <c r="A105" s="55" t="s">
        <v>181</v>
      </c>
      <c r="B105" s="55" t="s">
        <v>245</v>
      </c>
      <c r="C105" s="55">
        <v>1</v>
      </c>
      <c r="D105" s="55" t="s">
        <v>246</v>
      </c>
      <c r="E105" s="55">
        <v>1</v>
      </c>
      <c r="F105" s="55">
        <v>3181</v>
      </c>
      <c r="G105" s="54" t="s">
        <v>327</v>
      </c>
      <c r="H105" s="104">
        <v>3000</v>
      </c>
      <c r="I105" s="104">
        <v>-1500</v>
      </c>
      <c r="J105" s="104">
        <v>1500</v>
      </c>
      <c r="K105" s="104">
        <v>0</v>
      </c>
      <c r="L105" s="104">
        <v>227.77</v>
      </c>
      <c r="M105" s="104">
        <v>227.77</v>
      </c>
      <c r="N105" s="104">
        <v>227.77</v>
      </c>
      <c r="O105" s="104">
        <v>0</v>
      </c>
    </row>
    <row r="106" spans="1:15" x14ac:dyDescent="0.2">
      <c r="A106" s="55" t="s">
        <v>181</v>
      </c>
      <c r="B106" s="55" t="s">
        <v>245</v>
      </c>
      <c r="C106" s="55">
        <v>1</v>
      </c>
      <c r="D106" s="55" t="s">
        <v>246</v>
      </c>
      <c r="E106" s="55">
        <v>1</v>
      </c>
      <c r="F106" s="55">
        <v>3451</v>
      </c>
      <c r="G106" s="54" t="s">
        <v>331</v>
      </c>
      <c r="H106" s="104">
        <v>5000</v>
      </c>
      <c r="I106" s="104">
        <v>0</v>
      </c>
      <c r="J106" s="104">
        <v>5000</v>
      </c>
      <c r="K106" s="104">
        <v>0</v>
      </c>
      <c r="L106" s="104">
        <v>3018.17</v>
      </c>
      <c r="M106" s="104">
        <v>3018.17</v>
      </c>
      <c r="N106" s="104">
        <v>3018.17</v>
      </c>
      <c r="O106" s="104">
        <v>0</v>
      </c>
    </row>
    <row r="107" spans="1:15" x14ac:dyDescent="0.2">
      <c r="A107" s="55" t="s">
        <v>181</v>
      </c>
      <c r="B107" s="55" t="s">
        <v>245</v>
      </c>
      <c r="C107" s="55">
        <v>1</v>
      </c>
      <c r="D107" s="55" t="s">
        <v>246</v>
      </c>
      <c r="E107" s="55">
        <v>1</v>
      </c>
      <c r="F107" s="55">
        <v>3551</v>
      </c>
      <c r="G107" s="54" t="s">
        <v>333</v>
      </c>
      <c r="H107" s="104">
        <v>10000</v>
      </c>
      <c r="I107" s="104">
        <v>0</v>
      </c>
      <c r="J107" s="104">
        <v>10000</v>
      </c>
      <c r="K107" s="104">
        <v>0</v>
      </c>
      <c r="L107" s="104">
        <v>4456.2</v>
      </c>
      <c r="M107" s="104">
        <v>4456.2</v>
      </c>
      <c r="N107" s="104">
        <v>4456.2</v>
      </c>
      <c r="O107" s="104">
        <v>0</v>
      </c>
    </row>
    <row r="108" spans="1:15" x14ac:dyDescent="0.2">
      <c r="A108" s="55" t="s">
        <v>181</v>
      </c>
      <c r="B108" s="55" t="s">
        <v>245</v>
      </c>
      <c r="C108" s="55">
        <v>1</v>
      </c>
      <c r="D108" s="55" t="s">
        <v>246</v>
      </c>
      <c r="E108" s="55">
        <v>1</v>
      </c>
      <c r="F108" s="55">
        <v>3721</v>
      </c>
      <c r="G108" s="54" t="s">
        <v>338</v>
      </c>
      <c r="H108" s="104">
        <v>10000</v>
      </c>
      <c r="I108" s="104">
        <v>-5000</v>
      </c>
      <c r="J108" s="104">
        <v>5000</v>
      </c>
      <c r="K108" s="104">
        <v>0</v>
      </c>
      <c r="L108" s="104">
        <v>0</v>
      </c>
      <c r="M108" s="104">
        <v>0</v>
      </c>
      <c r="N108" s="104">
        <v>0</v>
      </c>
      <c r="O108" s="104">
        <v>0</v>
      </c>
    </row>
    <row r="109" spans="1:15" x14ac:dyDescent="0.2">
      <c r="A109" s="55" t="s">
        <v>181</v>
      </c>
      <c r="B109" s="55" t="s">
        <v>245</v>
      </c>
      <c r="C109" s="55">
        <v>1</v>
      </c>
      <c r="D109" s="55" t="s">
        <v>246</v>
      </c>
      <c r="E109" s="55">
        <v>1</v>
      </c>
      <c r="F109" s="55">
        <v>3751</v>
      </c>
      <c r="G109" s="54" t="s">
        <v>339</v>
      </c>
      <c r="H109" s="104">
        <v>50000</v>
      </c>
      <c r="I109" s="104">
        <v>-15000</v>
      </c>
      <c r="J109" s="104">
        <v>35000</v>
      </c>
      <c r="K109" s="104">
        <v>0</v>
      </c>
      <c r="L109" s="104">
        <v>18997.62</v>
      </c>
      <c r="M109" s="104">
        <v>18997.62</v>
      </c>
      <c r="N109" s="104">
        <f>18997.62-1786.58</f>
        <v>17211.04</v>
      </c>
      <c r="O109" s="104">
        <v>0</v>
      </c>
    </row>
    <row r="110" spans="1:15" x14ac:dyDescent="0.2">
      <c r="A110" s="55" t="s">
        <v>181</v>
      </c>
      <c r="B110" s="55" t="s">
        <v>245</v>
      </c>
      <c r="C110" s="55">
        <v>1</v>
      </c>
      <c r="D110" s="55" t="s">
        <v>246</v>
      </c>
      <c r="E110" s="55">
        <v>1</v>
      </c>
      <c r="F110" s="55">
        <v>3791</v>
      </c>
      <c r="G110" s="54" t="s">
        <v>233</v>
      </c>
      <c r="H110" s="104">
        <v>10000</v>
      </c>
      <c r="I110" s="104">
        <v>-5000</v>
      </c>
      <c r="J110" s="104">
        <v>5000</v>
      </c>
      <c r="K110" s="104">
        <v>0</v>
      </c>
      <c r="L110" s="104">
        <v>5338.05</v>
      </c>
      <c r="M110" s="104">
        <v>5338.05</v>
      </c>
      <c r="N110" s="104">
        <f>5338.05-1409</f>
        <v>3929.05</v>
      </c>
      <c r="O110" s="104">
        <v>0</v>
      </c>
    </row>
    <row r="111" spans="1:15" x14ac:dyDescent="0.2">
      <c r="A111" s="55" t="s">
        <v>181</v>
      </c>
      <c r="B111" s="55" t="s">
        <v>245</v>
      </c>
      <c r="C111" s="55">
        <v>1</v>
      </c>
      <c r="D111" s="55" t="s">
        <v>246</v>
      </c>
      <c r="E111" s="55">
        <v>1</v>
      </c>
      <c r="F111" s="55">
        <v>3852</v>
      </c>
      <c r="G111" s="54" t="s">
        <v>340</v>
      </c>
      <c r="H111" s="104">
        <v>5000</v>
      </c>
      <c r="I111" s="104">
        <v>-3000</v>
      </c>
      <c r="J111" s="104">
        <v>2000</v>
      </c>
      <c r="K111" s="104">
        <v>0</v>
      </c>
      <c r="L111" s="104">
        <v>573</v>
      </c>
      <c r="M111" s="104">
        <v>573</v>
      </c>
      <c r="N111" s="104">
        <f>573-501</f>
        <v>72</v>
      </c>
      <c r="O111" s="104">
        <v>0</v>
      </c>
    </row>
    <row r="112" spans="1:15" x14ac:dyDescent="0.2">
      <c r="A112" s="55" t="s">
        <v>181</v>
      </c>
      <c r="B112" s="55" t="s">
        <v>245</v>
      </c>
      <c r="C112" s="55">
        <v>1</v>
      </c>
      <c r="D112" s="55" t="s">
        <v>246</v>
      </c>
      <c r="E112" s="55">
        <v>1</v>
      </c>
      <c r="F112" s="55">
        <v>3853</v>
      </c>
      <c r="G112" s="54" t="s">
        <v>341</v>
      </c>
      <c r="H112" s="104">
        <v>10000</v>
      </c>
      <c r="I112" s="104">
        <v>-10000</v>
      </c>
      <c r="J112" s="104">
        <v>0</v>
      </c>
      <c r="K112" s="104">
        <v>0</v>
      </c>
      <c r="L112" s="104">
        <v>0</v>
      </c>
      <c r="M112" s="104">
        <v>0</v>
      </c>
      <c r="N112" s="104">
        <v>0</v>
      </c>
      <c r="O112" s="104">
        <v>0</v>
      </c>
    </row>
    <row r="113" spans="1:15" x14ac:dyDescent="0.2">
      <c r="A113" s="55" t="s">
        <v>181</v>
      </c>
      <c r="B113" s="55" t="s">
        <v>245</v>
      </c>
      <c r="C113" s="55">
        <v>1</v>
      </c>
      <c r="D113" s="55" t="s">
        <v>246</v>
      </c>
      <c r="E113" s="55">
        <v>1</v>
      </c>
      <c r="F113" s="55">
        <v>3981</v>
      </c>
      <c r="G113" s="54" t="s">
        <v>342</v>
      </c>
      <c r="H113" s="104">
        <v>7284.89</v>
      </c>
      <c r="I113" s="104">
        <v>0</v>
      </c>
      <c r="J113" s="104">
        <v>7284.89</v>
      </c>
      <c r="K113" s="104">
        <v>0</v>
      </c>
      <c r="L113" s="104">
        <v>5189.6400000000003</v>
      </c>
      <c r="M113" s="104">
        <v>5189.6400000000003</v>
      </c>
      <c r="N113" s="104">
        <v>5189.6400000000003</v>
      </c>
      <c r="O113" s="104">
        <v>0</v>
      </c>
    </row>
    <row r="114" spans="1:15" x14ac:dyDescent="0.2">
      <c r="A114" s="55" t="s">
        <v>181</v>
      </c>
      <c r="B114" s="55" t="s">
        <v>245</v>
      </c>
      <c r="C114" s="55">
        <v>4</v>
      </c>
      <c r="G114" s="54" t="s">
        <v>298</v>
      </c>
      <c r="H114" s="104">
        <v>144000</v>
      </c>
      <c r="I114" s="104">
        <v>0</v>
      </c>
      <c r="J114" s="104">
        <v>144000</v>
      </c>
      <c r="K114" s="104">
        <v>0</v>
      </c>
      <c r="L114" s="104">
        <v>8620.69</v>
      </c>
      <c r="M114" s="104">
        <v>8620.69</v>
      </c>
      <c r="N114" s="104">
        <v>8620.69</v>
      </c>
      <c r="O114" s="104">
        <v>0</v>
      </c>
    </row>
    <row r="115" spans="1:15" x14ac:dyDescent="0.2">
      <c r="A115" s="55" t="s">
        <v>181</v>
      </c>
      <c r="B115" s="55" t="s">
        <v>245</v>
      </c>
      <c r="C115" s="55">
        <v>4</v>
      </c>
      <c r="D115" s="55" t="s">
        <v>246</v>
      </c>
      <c r="G115" s="54" t="s">
        <v>279</v>
      </c>
      <c r="H115" s="104">
        <v>144000</v>
      </c>
      <c r="I115" s="104">
        <v>0</v>
      </c>
      <c r="J115" s="104">
        <v>144000</v>
      </c>
      <c r="K115" s="104">
        <v>0</v>
      </c>
      <c r="L115" s="104">
        <v>8620.69</v>
      </c>
      <c r="M115" s="104">
        <v>8620.69</v>
      </c>
      <c r="N115" s="104">
        <v>8620.69</v>
      </c>
      <c r="O115" s="104">
        <v>0</v>
      </c>
    </row>
    <row r="116" spans="1:15" x14ac:dyDescent="0.2">
      <c r="A116" s="55" t="s">
        <v>181</v>
      </c>
      <c r="B116" s="55" t="s">
        <v>245</v>
      </c>
      <c r="C116" s="55">
        <v>4</v>
      </c>
      <c r="D116" s="55" t="s">
        <v>246</v>
      </c>
      <c r="E116" s="55">
        <v>1</v>
      </c>
      <c r="G116" s="54" t="s">
        <v>296</v>
      </c>
      <c r="H116" s="104">
        <v>144000</v>
      </c>
      <c r="I116" s="104">
        <v>0</v>
      </c>
      <c r="J116" s="104">
        <v>144000</v>
      </c>
      <c r="K116" s="104">
        <v>0</v>
      </c>
      <c r="L116" s="104">
        <v>8620.69</v>
      </c>
      <c r="M116" s="104">
        <v>8620.69</v>
      </c>
      <c r="N116" s="104">
        <v>8620.69</v>
      </c>
      <c r="O116" s="104">
        <v>0</v>
      </c>
    </row>
    <row r="117" spans="1:15" x14ac:dyDescent="0.2">
      <c r="A117" s="55" t="s">
        <v>181</v>
      </c>
      <c r="B117" s="55" t="s">
        <v>245</v>
      </c>
      <c r="C117" s="55">
        <v>4</v>
      </c>
      <c r="D117" s="55" t="s">
        <v>246</v>
      </c>
      <c r="E117" s="55">
        <v>1</v>
      </c>
      <c r="F117" s="55">
        <v>3391</v>
      </c>
      <c r="G117" s="54" t="s">
        <v>305</v>
      </c>
      <c r="H117" s="104">
        <v>144000</v>
      </c>
      <c r="I117" s="104">
        <v>0</v>
      </c>
      <c r="J117" s="104">
        <v>144000</v>
      </c>
      <c r="K117" s="104">
        <v>0</v>
      </c>
      <c r="L117" s="104">
        <v>8620.69</v>
      </c>
      <c r="M117" s="104">
        <v>8620.69</v>
      </c>
      <c r="N117" s="104">
        <v>8620.69</v>
      </c>
      <c r="O117" s="104">
        <v>0</v>
      </c>
    </row>
    <row r="118" spans="1:15" x14ac:dyDescent="0.2">
      <c r="A118" s="55" t="s">
        <v>181</v>
      </c>
      <c r="B118" s="55" t="s">
        <v>258</v>
      </c>
      <c r="G118" s="54" t="s">
        <v>257</v>
      </c>
      <c r="H118" s="104">
        <v>2459182</v>
      </c>
      <c r="I118" s="104">
        <v>783188.25</v>
      </c>
      <c r="J118" s="104">
        <v>3242370.25</v>
      </c>
      <c r="K118" s="104">
        <v>0</v>
      </c>
      <c r="L118" s="104">
        <v>3178787.45</v>
      </c>
      <c r="M118" s="104">
        <v>3178787.45</v>
      </c>
      <c r="N118" s="104">
        <f>3178787.45-453114.91-22117-6984.74-134939.07</f>
        <v>2561631.73</v>
      </c>
      <c r="O118" s="104">
        <v>0</v>
      </c>
    </row>
    <row r="119" spans="1:15" x14ac:dyDescent="0.2">
      <c r="A119" s="55" t="s">
        <v>181</v>
      </c>
      <c r="B119" s="55" t="s">
        <v>258</v>
      </c>
      <c r="C119" s="55">
        <v>1</v>
      </c>
      <c r="D119" s="55" t="s">
        <v>259</v>
      </c>
      <c r="E119" s="55">
        <v>1</v>
      </c>
      <c r="F119" s="55">
        <v>1131</v>
      </c>
      <c r="G119" s="54" t="s">
        <v>207</v>
      </c>
      <c r="H119" s="104">
        <v>633648</v>
      </c>
      <c r="I119" s="104">
        <v>-51471</v>
      </c>
      <c r="J119" s="104">
        <v>582177</v>
      </c>
      <c r="K119" s="104">
        <v>0</v>
      </c>
      <c r="L119" s="104">
        <v>583707.98</v>
      </c>
      <c r="M119" s="104">
        <v>583707.98</v>
      </c>
      <c r="N119" s="104">
        <v>583707.98</v>
      </c>
      <c r="O119" s="104">
        <v>0</v>
      </c>
    </row>
    <row r="120" spans="1:15" x14ac:dyDescent="0.2">
      <c r="A120" s="55" t="s">
        <v>181</v>
      </c>
      <c r="B120" s="55" t="s">
        <v>258</v>
      </c>
      <c r="C120" s="55">
        <v>1</v>
      </c>
      <c r="D120" s="55" t="s">
        <v>259</v>
      </c>
      <c r="E120" s="55">
        <v>1</v>
      </c>
      <c r="F120" s="55">
        <v>1321</v>
      </c>
      <c r="G120" s="54" t="s">
        <v>208</v>
      </c>
      <c r="H120" s="104">
        <v>16369.24</v>
      </c>
      <c r="I120" s="104">
        <v>-1911.27</v>
      </c>
      <c r="J120" s="104">
        <v>14457.97</v>
      </c>
      <c r="K120" s="104">
        <v>0</v>
      </c>
      <c r="L120" s="104">
        <v>14457.97</v>
      </c>
      <c r="M120" s="104">
        <v>14457.97</v>
      </c>
      <c r="N120" s="104">
        <v>14457.97</v>
      </c>
      <c r="O120" s="104">
        <v>0</v>
      </c>
    </row>
    <row r="121" spans="1:15" x14ac:dyDescent="0.2">
      <c r="A121" s="55" t="s">
        <v>181</v>
      </c>
      <c r="B121" s="55" t="s">
        <v>258</v>
      </c>
      <c r="C121" s="55">
        <v>1</v>
      </c>
      <c r="D121" s="55" t="s">
        <v>259</v>
      </c>
      <c r="E121" s="55">
        <v>1</v>
      </c>
      <c r="F121" s="55">
        <v>1323</v>
      </c>
      <c r="G121" s="54" t="s">
        <v>316</v>
      </c>
      <c r="H121" s="104">
        <v>88006.67</v>
      </c>
      <c r="I121" s="104">
        <v>-7352.67</v>
      </c>
      <c r="J121" s="104">
        <v>80654</v>
      </c>
      <c r="K121" s="104">
        <v>0</v>
      </c>
      <c r="L121" s="104">
        <v>94974.080000000002</v>
      </c>
      <c r="M121" s="104">
        <v>94974.080000000002</v>
      </c>
      <c r="N121" s="104">
        <v>94974.080000000002</v>
      </c>
      <c r="O121" s="104">
        <v>0</v>
      </c>
    </row>
    <row r="122" spans="1:15" x14ac:dyDescent="0.2">
      <c r="A122" s="55" t="s">
        <v>181</v>
      </c>
      <c r="B122" s="55" t="s">
        <v>258</v>
      </c>
      <c r="C122" s="55">
        <v>1</v>
      </c>
      <c r="D122" s="55" t="s">
        <v>259</v>
      </c>
      <c r="E122" s="55">
        <v>1</v>
      </c>
      <c r="F122" s="55">
        <v>1413</v>
      </c>
      <c r="G122" s="54" t="s">
        <v>189</v>
      </c>
      <c r="H122" s="104">
        <v>70806.41</v>
      </c>
      <c r="I122" s="104">
        <v>-6773.41</v>
      </c>
      <c r="J122" s="104">
        <v>64033</v>
      </c>
      <c r="K122" s="104">
        <v>0</v>
      </c>
      <c r="L122" s="104">
        <v>71899.97</v>
      </c>
      <c r="M122" s="104">
        <v>71899.97</v>
      </c>
      <c r="N122" s="104">
        <f>71899.97-7866.97</f>
        <v>64033</v>
      </c>
      <c r="O122" s="104">
        <v>0</v>
      </c>
    </row>
    <row r="123" spans="1:15" x14ac:dyDescent="0.2">
      <c r="A123" s="55" t="s">
        <v>181</v>
      </c>
      <c r="B123" s="55" t="s">
        <v>258</v>
      </c>
      <c r="C123" s="55">
        <v>1</v>
      </c>
      <c r="D123" s="55" t="s">
        <v>259</v>
      </c>
      <c r="E123" s="55">
        <v>1</v>
      </c>
      <c r="F123" s="55">
        <v>1421</v>
      </c>
      <c r="G123" s="54" t="s">
        <v>190</v>
      </c>
      <c r="H123" s="104">
        <v>38057.360000000001</v>
      </c>
      <c r="I123" s="104">
        <v>-3090.36</v>
      </c>
      <c r="J123" s="104">
        <v>34967</v>
      </c>
      <c r="K123" s="104">
        <v>0</v>
      </c>
      <c r="L123" s="104">
        <v>32587.51</v>
      </c>
      <c r="M123" s="104">
        <v>32587.51</v>
      </c>
      <c r="N123" s="104">
        <f>32587.51-7019.72</f>
        <v>25567.789999999997</v>
      </c>
      <c r="O123" s="104">
        <v>0</v>
      </c>
    </row>
    <row r="124" spans="1:15" x14ac:dyDescent="0.2">
      <c r="A124" s="55" t="s">
        <v>181</v>
      </c>
      <c r="B124" s="55" t="s">
        <v>258</v>
      </c>
      <c r="C124" s="55">
        <v>1</v>
      </c>
      <c r="D124" s="55" t="s">
        <v>259</v>
      </c>
      <c r="E124" s="55">
        <v>1</v>
      </c>
      <c r="F124" s="55">
        <v>1431</v>
      </c>
      <c r="G124" s="54" t="s">
        <v>301</v>
      </c>
      <c r="H124" s="104">
        <v>39199.08</v>
      </c>
      <c r="I124" s="104">
        <v>-3184.08</v>
      </c>
      <c r="J124" s="104">
        <v>36015</v>
      </c>
      <c r="K124" s="104">
        <v>0</v>
      </c>
      <c r="L124" s="104">
        <v>34454.199999999997</v>
      </c>
      <c r="M124" s="104">
        <v>34454.199999999997</v>
      </c>
      <c r="N124" s="104">
        <f>34454.2-7230.31</f>
        <v>27223.889999999996</v>
      </c>
      <c r="O124" s="104">
        <v>0</v>
      </c>
    </row>
    <row r="125" spans="1:15" x14ac:dyDescent="0.2">
      <c r="A125" s="55" t="s">
        <v>181</v>
      </c>
      <c r="B125" s="55" t="s">
        <v>258</v>
      </c>
      <c r="C125" s="55">
        <v>1</v>
      </c>
      <c r="D125" s="55" t="s">
        <v>259</v>
      </c>
      <c r="E125" s="55">
        <v>1</v>
      </c>
      <c r="F125" s="55">
        <v>1511</v>
      </c>
      <c r="G125" s="54" t="s">
        <v>317</v>
      </c>
      <c r="H125" s="104">
        <v>12672.96</v>
      </c>
      <c r="I125" s="104">
        <v>-1028.96</v>
      </c>
      <c r="J125" s="104">
        <v>11644</v>
      </c>
      <c r="K125" s="104">
        <v>0</v>
      </c>
      <c r="L125" s="104">
        <v>11927.78</v>
      </c>
      <c r="M125" s="104">
        <v>11927.78</v>
      </c>
      <c r="N125" s="104">
        <v>11927.78</v>
      </c>
      <c r="O125" s="104">
        <v>0</v>
      </c>
    </row>
    <row r="126" spans="1:15" x14ac:dyDescent="0.2">
      <c r="A126" s="55" t="s">
        <v>181</v>
      </c>
      <c r="B126" s="55" t="s">
        <v>258</v>
      </c>
      <c r="C126" s="55">
        <v>1</v>
      </c>
      <c r="D126" s="55" t="s">
        <v>259</v>
      </c>
      <c r="E126" s="55">
        <v>1</v>
      </c>
      <c r="F126" s="55">
        <v>2111</v>
      </c>
      <c r="G126" s="54" t="s">
        <v>319</v>
      </c>
      <c r="H126" s="104">
        <v>5000</v>
      </c>
      <c r="I126" s="104">
        <v>-5000</v>
      </c>
      <c r="J126" s="104">
        <v>0</v>
      </c>
      <c r="K126" s="104">
        <v>0</v>
      </c>
      <c r="L126" s="104">
        <v>0</v>
      </c>
      <c r="M126" s="104">
        <v>0</v>
      </c>
      <c r="N126" s="104">
        <v>0</v>
      </c>
      <c r="O126" s="104">
        <v>0</v>
      </c>
    </row>
    <row r="127" spans="1:15" x14ac:dyDescent="0.2">
      <c r="A127" s="55" t="s">
        <v>181</v>
      </c>
      <c r="B127" s="55" t="s">
        <v>258</v>
      </c>
      <c r="C127" s="55">
        <v>1</v>
      </c>
      <c r="D127" s="55" t="s">
        <v>259</v>
      </c>
      <c r="E127" s="55">
        <v>1</v>
      </c>
      <c r="F127" s="55">
        <v>2161</v>
      </c>
      <c r="G127" s="54" t="s">
        <v>347</v>
      </c>
      <c r="H127" s="104">
        <v>30000</v>
      </c>
      <c r="I127" s="104">
        <v>-15000</v>
      </c>
      <c r="J127" s="104">
        <v>15000</v>
      </c>
      <c r="K127" s="104">
        <v>0</v>
      </c>
      <c r="L127" s="104">
        <v>1877.8</v>
      </c>
      <c r="M127" s="104">
        <v>1877.8</v>
      </c>
      <c r="N127" s="104">
        <v>1877.8</v>
      </c>
      <c r="O127" s="104">
        <v>0</v>
      </c>
    </row>
    <row r="128" spans="1:15" x14ac:dyDescent="0.2">
      <c r="A128" s="55" t="s">
        <v>181</v>
      </c>
      <c r="B128" s="55" t="s">
        <v>258</v>
      </c>
      <c r="C128" s="55">
        <v>1</v>
      </c>
      <c r="D128" s="55" t="s">
        <v>259</v>
      </c>
      <c r="E128" s="55">
        <v>1</v>
      </c>
      <c r="F128" s="55">
        <v>2212</v>
      </c>
      <c r="G128" s="54" t="s">
        <v>302</v>
      </c>
      <c r="H128" s="104">
        <v>7000</v>
      </c>
      <c r="I128" s="104">
        <v>-7000</v>
      </c>
      <c r="J128" s="104">
        <v>0</v>
      </c>
      <c r="K128" s="104">
        <v>0</v>
      </c>
      <c r="L128" s="104">
        <v>0</v>
      </c>
      <c r="M128" s="104">
        <v>0</v>
      </c>
      <c r="N128" s="104">
        <v>0</v>
      </c>
      <c r="O128" s="104">
        <v>0</v>
      </c>
    </row>
    <row r="129" spans="1:15" x14ac:dyDescent="0.2">
      <c r="A129" s="55" t="s">
        <v>181</v>
      </c>
      <c r="B129" s="55" t="s">
        <v>258</v>
      </c>
      <c r="C129" s="55">
        <v>1</v>
      </c>
      <c r="D129" s="55" t="s">
        <v>259</v>
      </c>
      <c r="E129" s="55">
        <v>1</v>
      </c>
      <c r="F129" s="55">
        <v>2421</v>
      </c>
      <c r="G129" s="54" t="s">
        <v>348</v>
      </c>
      <c r="H129" s="104">
        <v>10000</v>
      </c>
      <c r="I129" s="104">
        <v>-5000</v>
      </c>
      <c r="J129" s="104">
        <v>5000</v>
      </c>
      <c r="K129" s="104">
        <v>0</v>
      </c>
      <c r="L129" s="104">
        <v>0</v>
      </c>
      <c r="M129" s="104">
        <v>0</v>
      </c>
      <c r="N129" s="104">
        <v>0</v>
      </c>
      <c r="O129" s="104">
        <v>0</v>
      </c>
    </row>
    <row r="130" spans="1:15" x14ac:dyDescent="0.2">
      <c r="A130" s="55" t="s">
        <v>181</v>
      </c>
      <c r="B130" s="55" t="s">
        <v>258</v>
      </c>
      <c r="C130" s="55">
        <v>1</v>
      </c>
      <c r="D130" s="55" t="s">
        <v>259</v>
      </c>
      <c r="E130" s="55">
        <v>1</v>
      </c>
      <c r="F130" s="55">
        <v>2461</v>
      </c>
      <c r="G130" s="54" t="s">
        <v>349</v>
      </c>
      <c r="H130" s="104">
        <v>15000</v>
      </c>
      <c r="I130" s="104">
        <v>-10000</v>
      </c>
      <c r="J130" s="104">
        <v>5000</v>
      </c>
      <c r="K130" s="104">
        <v>0</v>
      </c>
      <c r="L130" s="104">
        <v>0</v>
      </c>
      <c r="M130" s="104">
        <v>0</v>
      </c>
      <c r="N130" s="104">
        <v>0</v>
      </c>
      <c r="O130" s="104">
        <v>0</v>
      </c>
    </row>
    <row r="131" spans="1:15" x14ac:dyDescent="0.2">
      <c r="A131" s="55" t="s">
        <v>181</v>
      </c>
      <c r="B131" s="55" t="s">
        <v>258</v>
      </c>
      <c r="C131" s="55">
        <v>1</v>
      </c>
      <c r="D131" s="55" t="s">
        <v>259</v>
      </c>
      <c r="E131" s="55">
        <v>1</v>
      </c>
      <c r="F131" s="55">
        <v>2491</v>
      </c>
      <c r="G131" s="54" t="s">
        <v>350</v>
      </c>
      <c r="H131" s="104">
        <v>20000</v>
      </c>
      <c r="I131" s="104">
        <v>-17000</v>
      </c>
      <c r="J131" s="104">
        <v>3000</v>
      </c>
      <c r="K131" s="104">
        <v>0</v>
      </c>
      <c r="L131" s="104">
        <v>0</v>
      </c>
      <c r="M131" s="104">
        <v>0</v>
      </c>
      <c r="N131" s="104">
        <v>0</v>
      </c>
      <c r="O131" s="104">
        <v>0</v>
      </c>
    </row>
    <row r="132" spans="1:15" x14ac:dyDescent="0.2">
      <c r="A132" s="55" t="s">
        <v>181</v>
      </c>
      <c r="B132" s="55" t="s">
        <v>258</v>
      </c>
      <c r="C132" s="55">
        <v>1</v>
      </c>
      <c r="D132" s="55" t="s">
        <v>259</v>
      </c>
      <c r="E132" s="55">
        <v>1</v>
      </c>
      <c r="F132" s="55">
        <v>2612</v>
      </c>
      <c r="G132" s="54" t="s">
        <v>322</v>
      </c>
      <c r="H132" s="104">
        <v>30000</v>
      </c>
      <c r="I132" s="104">
        <v>-12000</v>
      </c>
      <c r="J132" s="104">
        <v>18000</v>
      </c>
      <c r="K132" s="104">
        <v>0</v>
      </c>
      <c r="L132" s="104">
        <v>19644.87</v>
      </c>
      <c r="M132" s="104">
        <v>19644.87</v>
      </c>
      <c r="N132" s="104">
        <f>19644.87-5454.74</f>
        <v>14190.13</v>
      </c>
      <c r="O132" s="104">
        <v>0</v>
      </c>
    </row>
    <row r="133" spans="1:15" x14ac:dyDescent="0.2">
      <c r="A133" s="55" t="s">
        <v>181</v>
      </c>
      <c r="B133" s="55" t="s">
        <v>258</v>
      </c>
      <c r="C133" s="55">
        <v>1</v>
      </c>
      <c r="D133" s="55" t="s">
        <v>259</v>
      </c>
      <c r="E133" s="55">
        <v>1</v>
      </c>
      <c r="F133" s="55">
        <v>2613</v>
      </c>
      <c r="G133" s="54" t="s">
        <v>351</v>
      </c>
      <c r="H133" s="104">
        <v>25000</v>
      </c>
      <c r="I133" s="104">
        <v>-15000</v>
      </c>
      <c r="J133" s="104">
        <v>10000</v>
      </c>
      <c r="K133" s="104">
        <v>0</v>
      </c>
      <c r="L133" s="104">
        <v>5467.56</v>
      </c>
      <c r="M133" s="104">
        <v>5467.56</v>
      </c>
      <c r="N133" s="104">
        <f>5467.56-1530</f>
        <v>3937.5600000000004</v>
      </c>
      <c r="O133" s="104">
        <v>0</v>
      </c>
    </row>
    <row r="134" spans="1:15" x14ac:dyDescent="0.2">
      <c r="A134" s="55" t="s">
        <v>181</v>
      </c>
      <c r="B134" s="55" t="s">
        <v>258</v>
      </c>
      <c r="C134" s="55">
        <v>1</v>
      </c>
      <c r="D134" s="55" t="s">
        <v>259</v>
      </c>
      <c r="E134" s="55">
        <v>1</v>
      </c>
      <c r="F134" s="55">
        <v>2721</v>
      </c>
      <c r="G134" s="54" t="s">
        <v>352</v>
      </c>
      <c r="H134" s="104">
        <v>5000</v>
      </c>
      <c r="I134" s="104">
        <v>-2000</v>
      </c>
      <c r="J134" s="104">
        <v>3000</v>
      </c>
      <c r="K134" s="104">
        <v>0</v>
      </c>
      <c r="L134" s="104">
        <v>0</v>
      </c>
      <c r="M134" s="104">
        <v>0</v>
      </c>
      <c r="N134" s="104">
        <v>0</v>
      </c>
      <c r="O134" s="104">
        <v>0</v>
      </c>
    </row>
    <row r="135" spans="1:15" x14ac:dyDescent="0.2">
      <c r="A135" s="55" t="s">
        <v>181</v>
      </c>
      <c r="B135" s="55" t="s">
        <v>258</v>
      </c>
      <c r="C135" s="55">
        <v>1</v>
      </c>
      <c r="D135" s="55" t="s">
        <v>259</v>
      </c>
      <c r="E135" s="55">
        <v>1</v>
      </c>
      <c r="F135" s="55">
        <v>2911</v>
      </c>
      <c r="G135" s="54" t="s">
        <v>353</v>
      </c>
      <c r="H135" s="104">
        <v>5000</v>
      </c>
      <c r="I135" s="104">
        <v>-2000</v>
      </c>
      <c r="J135" s="104">
        <v>3000</v>
      </c>
      <c r="K135" s="104">
        <v>0</v>
      </c>
      <c r="L135" s="104">
        <v>0</v>
      </c>
      <c r="M135" s="104">
        <v>0</v>
      </c>
      <c r="N135" s="104">
        <v>0</v>
      </c>
      <c r="O135" s="104">
        <v>0</v>
      </c>
    </row>
    <row r="136" spans="1:15" x14ac:dyDescent="0.2">
      <c r="A136" s="55" t="s">
        <v>181</v>
      </c>
      <c r="B136" s="55" t="s">
        <v>258</v>
      </c>
      <c r="C136" s="55">
        <v>1</v>
      </c>
      <c r="D136" s="55" t="s">
        <v>259</v>
      </c>
      <c r="E136" s="55">
        <v>1</v>
      </c>
      <c r="F136" s="55">
        <v>3111</v>
      </c>
      <c r="G136" s="54" t="s">
        <v>303</v>
      </c>
      <c r="H136" s="104">
        <v>300000</v>
      </c>
      <c r="I136" s="104">
        <v>0</v>
      </c>
      <c r="J136" s="104">
        <v>300000</v>
      </c>
      <c r="K136" s="104">
        <v>0</v>
      </c>
      <c r="L136" s="104">
        <v>288131</v>
      </c>
      <c r="M136" s="104">
        <v>288131</v>
      </c>
      <c r="N136" s="104">
        <f>288131-199255</f>
        <v>88876</v>
      </c>
      <c r="O136" s="104">
        <v>0</v>
      </c>
    </row>
    <row r="137" spans="1:15" x14ac:dyDescent="0.2">
      <c r="A137" s="55" t="s">
        <v>181</v>
      </c>
      <c r="B137" s="55" t="s">
        <v>258</v>
      </c>
      <c r="C137" s="55">
        <v>1</v>
      </c>
      <c r="D137" s="55" t="s">
        <v>259</v>
      </c>
      <c r="E137" s="55">
        <v>1</v>
      </c>
      <c r="F137" s="55">
        <v>3192</v>
      </c>
      <c r="G137" s="54" t="s">
        <v>304</v>
      </c>
      <c r="H137" s="104">
        <v>14000</v>
      </c>
      <c r="I137" s="104">
        <v>-9000</v>
      </c>
      <c r="J137" s="104">
        <v>5000</v>
      </c>
      <c r="K137" s="104">
        <v>0</v>
      </c>
      <c r="L137" s="104">
        <v>0</v>
      </c>
      <c r="M137" s="104">
        <v>0</v>
      </c>
      <c r="N137" s="104">
        <v>0</v>
      </c>
      <c r="O137" s="104">
        <v>0</v>
      </c>
    </row>
    <row r="138" spans="1:15" x14ac:dyDescent="0.2">
      <c r="A138" s="55" t="s">
        <v>181</v>
      </c>
      <c r="B138" s="55" t="s">
        <v>258</v>
      </c>
      <c r="C138" s="55">
        <v>1</v>
      </c>
      <c r="D138" s="55" t="s">
        <v>259</v>
      </c>
      <c r="E138" s="55">
        <v>1</v>
      </c>
      <c r="F138" s="55">
        <v>3441</v>
      </c>
      <c r="G138" s="54" t="s">
        <v>354</v>
      </c>
      <c r="H138" s="104">
        <v>12000</v>
      </c>
      <c r="I138" s="104">
        <v>0</v>
      </c>
      <c r="J138" s="104">
        <v>12000</v>
      </c>
      <c r="K138" s="104">
        <v>0</v>
      </c>
      <c r="L138" s="104">
        <v>0</v>
      </c>
      <c r="M138" s="104">
        <v>0</v>
      </c>
      <c r="N138" s="104">
        <v>0</v>
      </c>
      <c r="O138" s="104">
        <v>0</v>
      </c>
    </row>
    <row r="139" spans="1:15" x14ac:dyDescent="0.2">
      <c r="A139" s="55" t="s">
        <v>181</v>
      </c>
      <c r="B139" s="55" t="s">
        <v>258</v>
      </c>
      <c r="C139" s="55">
        <v>1</v>
      </c>
      <c r="D139" s="55" t="s">
        <v>259</v>
      </c>
      <c r="E139" s="55">
        <v>1</v>
      </c>
      <c r="F139" s="55">
        <v>3451</v>
      </c>
      <c r="G139" s="54" t="s">
        <v>331</v>
      </c>
      <c r="H139" s="104">
        <v>6000</v>
      </c>
      <c r="I139" s="104">
        <v>0</v>
      </c>
      <c r="J139" s="104">
        <v>6000</v>
      </c>
      <c r="K139" s="104">
        <v>0</v>
      </c>
      <c r="L139" s="104">
        <v>0</v>
      </c>
      <c r="M139" s="104">
        <v>0</v>
      </c>
      <c r="N139" s="104">
        <v>0</v>
      </c>
      <c r="O139" s="104">
        <v>0</v>
      </c>
    </row>
    <row r="140" spans="1:15" x14ac:dyDescent="0.2">
      <c r="A140" s="55" t="s">
        <v>181</v>
      </c>
      <c r="B140" s="55" t="s">
        <v>258</v>
      </c>
      <c r="C140" s="55">
        <v>1</v>
      </c>
      <c r="D140" s="55" t="s">
        <v>259</v>
      </c>
      <c r="E140" s="55">
        <v>1</v>
      </c>
      <c r="F140" s="55">
        <v>3471</v>
      </c>
      <c r="G140" s="54" t="s">
        <v>355</v>
      </c>
      <c r="H140" s="104">
        <v>20000</v>
      </c>
      <c r="I140" s="104">
        <v>-15000</v>
      </c>
      <c r="J140" s="104">
        <v>5000</v>
      </c>
      <c r="K140" s="104">
        <v>0</v>
      </c>
      <c r="L140" s="104">
        <v>0</v>
      </c>
      <c r="M140" s="104">
        <v>0</v>
      </c>
      <c r="N140" s="104">
        <v>0</v>
      </c>
      <c r="O140" s="104">
        <v>0</v>
      </c>
    </row>
    <row r="141" spans="1:15" x14ac:dyDescent="0.2">
      <c r="A141" s="55" t="s">
        <v>181</v>
      </c>
      <c r="B141" s="55" t="s">
        <v>258</v>
      </c>
      <c r="C141" s="55">
        <v>1</v>
      </c>
      <c r="D141" s="55" t="s">
        <v>259</v>
      </c>
      <c r="E141" s="55">
        <v>1</v>
      </c>
      <c r="F141" s="55">
        <v>3511</v>
      </c>
      <c r="G141" s="54" t="s">
        <v>307</v>
      </c>
      <c r="H141" s="104">
        <v>0</v>
      </c>
      <c r="I141" s="104">
        <v>220000</v>
      </c>
      <c r="J141" s="104">
        <v>220000</v>
      </c>
      <c r="K141" s="104">
        <v>0</v>
      </c>
      <c r="L141" s="104">
        <v>219736.85</v>
      </c>
      <c r="M141" s="104">
        <v>219736.85</v>
      </c>
      <c r="N141" s="104">
        <v>219736.85</v>
      </c>
      <c r="O141" s="104">
        <v>0</v>
      </c>
    </row>
    <row r="142" spans="1:15" x14ac:dyDescent="0.2">
      <c r="A142" s="55" t="s">
        <v>181</v>
      </c>
      <c r="B142" s="55" t="s">
        <v>258</v>
      </c>
      <c r="C142" s="55">
        <v>1</v>
      </c>
      <c r="D142" s="55" t="s">
        <v>259</v>
      </c>
      <c r="E142" s="55">
        <v>1</v>
      </c>
      <c r="F142" s="55">
        <v>3551</v>
      </c>
      <c r="G142" s="54" t="s">
        <v>333</v>
      </c>
      <c r="H142" s="104">
        <v>20000</v>
      </c>
      <c r="I142" s="104">
        <v>5000</v>
      </c>
      <c r="J142" s="104">
        <v>25000</v>
      </c>
      <c r="K142" s="104">
        <v>0</v>
      </c>
      <c r="L142" s="104">
        <v>24065.77</v>
      </c>
      <c r="M142" s="104">
        <v>24065.77</v>
      </c>
      <c r="N142" s="104">
        <f>24065.77-80</f>
        <v>23985.77</v>
      </c>
      <c r="O142" s="104">
        <v>0</v>
      </c>
    </row>
    <row r="143" spans="1:15" x14ac:dyDescent="0.2">
      <c r="A143" s="55" t="s">
        <v>181</v>
      </c>
      <c r="B143" s="55" t="s">
        <v>258</v>
      </c>
      <c r="C143" s="55">
        <v>1</v>
      </c>
      <c r="D143" s="55" t="s">
        <v>259</v>
      </c>
      <c r="E143" s="55">
        <v>1</v>
      </c>
      <c r="F143" s="55">
        <v>3571</v>
      </c>
      <c r="G143" s="54" t="s">
        <v>356</v>
      </c>
      <c r="H143" s="104">
        <v>20000</v>
      </c>
      <c r="I143" s="104">
        <v>-17000</v>
      </c>
      <c r="J143" s="104">
        <v>3000</v>
      </c>
      <c r="K143" s="104">
        <v>0</v>
      </c>
      <c r="L143" s="104">
        <v>2147.9</v>
      </c>
      <c r="M143" s="104">
        <v>2147.9</v>
      </c>
      <c r="N143" s="104">
        <v>2147.9</v>
      </c>
      <c r="O143" s="104">
        <v>0</v>
      </c>
    </row>
    <row r="144" spans="1:15" x14ac:dyDescent="0.2">
      <c r="A144" s="55" t="s">
        <v>181</v>
      </c>
      <c r="B144" s="55" t="s">
        <v>258</v>
      </c>
      <c r="C144" s="55">
        <v>1</v>
      </c>
      <c r="D144" s="55" t="s">
        <v>259</v>
      </c>
      <c r="E144" s="55">
        <v>1</v>
      </c>
      <c r="F144" s="55">
        <v>3591</v>
      </c>
      <c r="G144" s="54" t="s">
        <v>357</v>
      </c>
      <c r="H144" s="104">
        <v>16000</v>
      </c>
      <c r="I144" s="104">
        <v>-11000</v>
      </c>
      <c r="J144" s="104">
        <v>5000</v>
      </c>
      <c r="K144" s="104">
        <v>0</v>
      </c>
      <c r="L144" s="104">
        <v>1400</v>
      </c>
      <c r="M144" s="104">
        <v>1400</v>
      </c>
      <c r="N144" s="104">
        <v>1400</v>
      </c>
      <c r="O144" s="104">
        <v>0</v>
      </c>
    </row>
    <row r="145" spans="1:15" x14ac:dyDescent="0.2">
      <c r="A145" s="55" t="s">
        <v>181</v>
      </c>
      <c r="B145" s="55" t="s">
        <v>258</v>
      </c>
      <c r="C145" s="55">
        <v>1</v>
      </c>
      <c r="D145" s="55" t="s">
        <v>259</v>
      </c>
      <c r="E145" s="55">
        <v>1</v>
      </c>
      <c r="F145" s="55">
        <v>3751</v>
      </c>
      <c r="G145" s="54" t="s">
        <v>339</v>
      </c>
      <c r="H145" s="104">
        <v>5000</v>
      </c>
      <c r="I145" s="104">
        <v>-5000</v>
      </c>
      <c r="J145" s="104">
        <v>0</v>
      </c>
      <c r="K145" s="104">
        <v>0</v>
      </c>
      <c r="L145" s="104">
        <v>0</v>
      </c>
      <c r="M145" s="104">
        <v>0</v>
      </c>
      <c r="N145" s="104">
        <v>0</v>
      </c>
      <c r="O145" s="104">
        <v>0</v>
      </c>
    </row>
    <row r="146" spans="1:15" x14ac:dyDescent="0.2">
      <c r="A146" s="55" t="s">
        <v>181</v>
      </c>
      <c r="B146" s="55" t="s">
        <v>258</v>
      </c>
      <c r="C146" s="55">
        <v>1</v>
      </c>
      <c r="D146" s="55" t="s">
        <v>259</v>
      </c>
      <c r="E146" s="55">
        <v>1</v>
      </c>
      <c r="F146" s="55">
        <v>3981</v>
      </c>
      <c r="G146" s="54" t="s">
        <v>342</v>
      </c>
      <c r="H146" s="104">
        <v>15014.28</v>
      </c>
      <c r="I146" s="104">
        <v>0</v>
      </c>
      <c r="J146" s="104">
        <v>15014.28</v>
      </c>
      <c r="K146" s="104">
        <v>0</v>
      </c>
      <c r="L146" s="104">
        <v>16156.29</v>
      </c>
      <c r="M146" s="104">
        <v>16156.29</v>
      </c>
      <c r="N146" s="104">
        <v>16156.29</v>
      </c>
      <c r="O146" s="104">
        <v>0</v>
      </c>
    </row>
    <row r="147" spans="1:15" x14ac:dyDescent="0.2">
      <c r="A147" s="55" t="s">
        <v>181</v>
      </c>
      <c r="B147" s="55" t="s">
        <v>258</v>
      </c>
      <c r="C147" s="55">
        <v>4</v>
      </c>
      <c r="D147" s="55" t="s">
        <v>259</v>
      </c>
      <c r="E147" s="55">
        <v>1</v>
      </c>
      <c r="F147" s="55">
        <v>1131</v>
      </c>
      <c r="G147" s="54" t="s">
        <v>207</v>
      </c>
      <c r="H147" s="104">
        <v>0</v>
      </c>
      <c r="I147" s="104">
        <v>0</v>
      </c>
      <c r="J147" s="104">
        <v>0</v>
      </c>
      <c r="K147" s="104">
        <v>0</v>
      </c>
      <c r="L147" s="104">
        <v>89897.36</v>
      </c>
      <c r="M147" s="104">
        <v>89897.36</v>
      </c>
      <c r="N147" s="104">
        <v>89897.36</v>
      </c>
      <c r="O147" s="104">
        <v>0</v>
      </c>
    </row>
    <row r="148" spans="1:15" x14ac:dyDescent="0.2">
      <c r="A148" s="55" t="s">
        <v>181</v>
      </c>
      <c r="B148" s="55" t="s">
        <v>258</v>
      </c>
      <c r="C148" s="55">
        <v>4</v>
      </c>
      <c r="D148" s="55" t="s">
        <v>259</v>
      </c>
      <c r="E148" s="55">
        <v>1</v>
      </c>
      <c r="F148" s="55">
        <v>1321</v>
      </c>
      <c r="G148" s="54" t="s">
        <v>208</v>
      </c>
      <c r="H148" s="104">
        <v>0</v>
      </c>
      <c r="I148" s="104">
        <v>0</v>
      </c>
      <c r="J148" s="104">
        <v>0</v>
      </c>
      <c r="K148" s="104">
        <v>0</v>
      </c>
      <c r="L148" s="104">
        <v>2694</v>
      </c>
      <c r="M148" s="104">
        <v>2694</v>
      </c>
      <c r="N148" s="104">
        <v>2694</v>
      </c>
      <c r="O148" s="104">
        <v>0</v>
      </c>
    </row>
    <row r="149" spans="1:15" x14ac:dyDescent="0.2">
      <c r="A149" s="55" t="s">
        <v>181</v>
      </c>
      <c r="B149" s="55" t="s">
        <v>258</v>
      </c>
      <c r="C149" s="55">
        <v>4</v>
      </c>
      <c r="D149" s="55" t="s">
        <v>259</v>
      </c>
      <c r="E149" s="55">
        <v>1</v>
      </c>
      <c r="F149" s="55">
        <v>1323</v>
      </c>
      <c r="G149" s="54" t="s">
        <v>316</v>
      </c>
      <c r="H149" s="104">
        <v>0</v>
      </c>
      <c r="I149" s="104">
        <v>0</v>
      </c>
      <c r="J149" s="104">
        <v>0</v>
      </c>
      <c r="K149" s="104">
        <v>0</v>
      </c>
      <c r="L149" s="104">
        <v>12571.67</v>
      </c>
      <c r="M149" s="104">
        <v>12571.67</v>
      </c>
      <c r="N149" s="104">
        <v>12571.67</v>
      </c>
      <c r="O149" s="104">
        <v>0</v>
      </c>
    </row>
    <row r="150" spans="1:15" x14ac:dyDescent="0.2">
      <c r="A150" s="55" t="s">
        <v>181</v>
      </c>
      <c r="B150" s="55" t="s">
        <v>258</v>
      </c>
      <c r="C150" s="55">
        <v>4</v>
      </c>
      <c r="D150" s="55" t="s">
        <v>259</v>
      </c>
      <c r="E150" s="55">
        <v>1</v>
      </c>
      <c r="F150" s="55">
        <v>1413</v>
      </c>
      <c r="G150" s="54" t="s">
        <v>189</v>
      </c>
      <c r="H150" s="104">
        <v>0</v>
      </c>
      <c r="I150" s="104">
        <v>0</v>
      </c>
      <c r="J150" s="104">
        <v>0</v>
      </c>
      <c r="K150" s="104">
        <v>0</v>
      </c>
      <c r="L150" s="104">
        <v>15480.12</v>
      </c>
      <c r="M150" s="104">
        <v>15480.12</v>
      </c>
      <c r="N150" s="104">
        <v>15480.12</v>
      </c>
      <c r="O150" s="104">
        <v>0</v>
      </c>
    </row>
    <row r="151" spans="1:15" x14ac:dyDescent="0.2">
      <c r="A151" s="55" t="s">
        <v>181</v>
      </c>
      <c r="B151" s="55" t="s">
        <v>258</v>
      </c>
      <c r="C151" s="55">
        <v>4</v>
      </c>
      <c r="D151" s="55" t="s">
        <v>259</v>
      </c>
      <c r="E151" s="55">
        <v>1</v>
      </c>
      <c r="F151" s="55">
        <v>1421</v>
      </c>
      <c r="G151" s="54" t="s">
        <v>190</v>
      </c>
      <c r="H151" s="104">
        <v>0</v>
      </c>
      <c r="I151" s="104">
        <v>0</v>
      </c>
      <c r="J151" s="104">
        <v>0</v>
      </c>
      <c r="K151" s="104">
        <v>0</v>
      </c>
      <c r="L151" s="104">
        <v>7019.72</v>
      </c>
      <c r="M151" s="104">
        <v>7019.72</v>
      </c>
      <c r="N151" s="104">
        <v>7019.72</v>
      </c>
      <c r="O151" s="104">
        <v>0</v>
      </c>
    </row>
    <row r="152" spans="1:15" x14ac:dyDescent="0.2">
      <c r="A152" s="55" t="s">
        <v>181</v>
      </c>
      <c r="B152" s="55" t="s">
        <v>258</v>
      </c>
      <c r="C152" s="55">
        <v>4</v>
      </c>
      <c r="D152" s="55" t="s">
        <v>259</v>
      </c>
      <c r="E152" s="55">
        <v>1</v>
      </c>
      <c r="F152" s="55">
        <v>1431</v>
      </c>
      <c r="G152" s="54" t="s">
        <v>301</v>
      </c>
      <c r="H152" s="104">
        <v>0</v>
      </c>
      <c r="I152" s="104">
        <v>0</v>
      </c>
      <c r="J152" s="104">
        <v>0</v>
      </c>
      <c r="K152" s="104">
        <v>0</v>
      </c>
      <c r="L152" s="104">
        <v>7230.31</v>
      </c>
      <c r="M152" s="104">
        <v>7230.31</v>
      </c>
      <c r="N152" s="104">
        <v>7230.31</v>
      </c>
      <c r="O152" s="104">
        <v>0</v>
      </c>
    </row>
    <row r="153" spans="1:15" x14ac:dyDescent="0.2">
      <c r="A153" s="55" t="s">
        <v>181</v>
      </c>
      <c r="B153" s="55" t="s">
        <v>258</v>
      </c>
      <c r="C153" s="55">
        <v>4</v>
      </c>
      <c r="D153" s="55" t="s">
        <v>259</v>
      </c>
      <c r="E153" s="55">
        <v>1</v>
      </c>
      <c r="F153" s="55">
        <v>1511</v>
      </c>
      <c r="G153" s="54" t="s">
        <v>317</v>
      </c>
      <c r="H153" s="104">
        <v>0</v>
      </c>
      <c r="I153" s="104">
        <v>0</v>
      </c>
      <c r="J153" s="104">
        <v>0</v>
      </c>
      <c r="K153" s="104">
        <v>0</v>
      </c>
      <c r="L153" s="104">
        <v>1663.11</v>
      </c>
      <c r="M153" s="104">
        <v>1663.11</v>
      </c>
      <c r="N153" s="104">
        <v>1663.11</v>
      </c>
      <c r="O153" s="104">
        <v>0</v>
      </c>
    </row>
    <row r="154" spans="1:15" x14ac:dyDescent="0.2">
      <c r="A154" s="55" t="s">
        <v>181</v>
      </c>
      <c r="B154" s="55" t="s">
        <v>258</v>
      </c>
      <c r="C154" s="55">
        <v>4</v>
      </c>
      <c r="D154" s="55" t="s">
        <v>259</v>
      </c>
      <c r="E154" s="55">
        <v>1</v>
      </c>
      <c r="F154" s="55">
        <v>3111</v>
      </c>
      <c r="G154" s="54" t="s">
        <v>303</v>
      </c>
      <c r="H154" s="104">
        <v>0</v>
      </c>
      <c r="I154" s="104">
        <v>0</v>
      </c>
      <c r="J154" s="104">
        <v>0</v>
      </c>
      <c r="K154" s="104">
        <v>0</v>
      </c>
      <c r="L154" s="104">
        <v>199255</v>
      </c>
      <c r="M154" s="104">
        <v>199255</v>
      </c>
      <c r="N154" s="104">
        <v>199255</v>
      </c>
      <c r="O154" s="104">
        <v>0</v>
      </c>
    </row>
    <row r="155" spans="1:15" x14ac:dyDescent="0.2">
      <c r="A155" s="55" t="s">
        <v>181</v>
      </c>
      <c r="B155" s="55" t="s">
        <v>258</v>
      </c>
      <c r="C155" s="55">
        <v>4</v>
      </c>
      <c r="D155" s="55" t="s">
        <v>259</v>
      </c>
      <c r="E155" s="55">
        <v>1</v>
      </c>
      <c r="F155" s="55">
        <v>3381</v>
      </c>
      <c r="G155" s="54" t="s">
        <v>297</v>
      </c>
      <c r="H155" s="104">
        <v>555408</v>
      </c>
      <c r="I155" s="104">
        <v>0</v>
      </c>
      <c r="J155" s="104">
        <v>555408</v>
      </c>
      <c r="K155" s="104">
        <v>0</v>
      </c>
      <c r="L155" s="104">
        <v>387470</v>
      </c>
      <c r="M155" s="104">
        <v>387470</v>
      </c>
      <c r="N155" s="104">
        <f>387470-110200</f>
        <v>277270</v>
      </c>
      <c r="O155" s="104">
        <v>0</v>
      </c>
    </row>
    <row r="156" spans="1:15" x14ac:dyDescent="0.2">
      <c r="A156" s="55" t="s">
        <v>181</v>
      </c>
      <c r="B156" s="55" t="s">
        <v>258</v>
      </c>
      <c r="C156" s="55">
        <v>4</v>
      </c>
      <c r="D156" s="55" t="s">
        <v>259</v>
      </c>
      <c r="E156" s="55">
        <v>1</v>
      </c>
      <c r="F156" s="55">
        <v>3511</v>
      </c>
      <c r="G156" s="54" t="s">
        <v>307</v>
      </c>
      <c r="H156" s="104">
        <v>220000</v>
      </c>
      <c r="I156" s="104">
        <v>780000</v>
      </c>
      <c r="J156" s="104">
        <v>1000000</v>
      </c>
      <c r="K156" s="104">
        <v>0</v>
      </c>
      <c r="L156" s="104">
        <v>543229.56000000006</v>
      </c>
      <c r="M156" s="104">
        <v>543229.56000000006</v>
      </c>
      <c r="N156" s="104">
        <f>543229.56-143579.91</f>
        <v>399649.65</v>
      </c>
      <c r="O156" s="104">
        <v>0</v>
      </c>
    </row>
    <row r="157" spans="1:15" x14ac:dyDescent="0.2">
      <c r="A157" s="55" t="s">
        <v>181</v>
      </c>
      <c r="B157" s="55" t="s">
        <v>258</v>
      </c>
      <c r="C157" s="55">
        <v>4</v>
      </c>
      <c r="D157" s="55" t="s">
        <v>259</v>
      </c>
      <c r="E157" s="55">
        <v>2</v>
      </c>
      <c r="G157" s="54" t="s">
        <v>312</v>
      </c>
      <c r="H157" s="104">
        <v>205000</v>
      </c>
      <c r="I157" s="104">
        <v>0</v>
      </c>
      <c r="J157" s="104">
        <v>205000</v>
      </c>
      <c r="K157" s="104">
        <v>0</v>
      </c>
      <c r="L157" s="104">
        <v>489639.07</v>
      </c>
      <c r="M157" s="104">
        <v>489639.07</v>
      </c>
      <c r="N157" s="104">
        <v>489639.07</v>
      </c>
      <c r="O157" s="104">
        <v>0</v>
      </c>
    </row>
    <row r="158" spans="1:15" x14ac:dyDescent="0.2">
      <c r="A158" s="55" t="s">
        <v>181</v>
      </c>
      <c r="B158" s="55" t="s">
        <v>258</v>
      </c>
      <c r="C158" s="55">
        <v>4</v>
      </c>
      <c r="D158" s="55" t="s">
        <v>259</v>
      </c>
      <c r="E158" s="55">
        <v>2</v>
      </c>
      <c r="F158" s="55">
        <v>5411</v>
      </c>
      <c r="G158" s="54" t="s">
        <v>358</v>
      </c>
      <c r="H158" s="104">
        <v>185000</v>
      </c>
      <c r="I158" s="104">
        <v>0</v>
      </c>
      <c r="J158" s="104">
        <v>185000</v>
      </c>
      <c r="K158" s="104">
        <v>0</v>
      </c>
      <c r="L158" s="104">
        <v>0</v>
      </c>
      <c r="M158" s="104">
        <v>0</v>
      </c>
      <c r="N158" s="104">
        <v>0</v>
      </c>
      <c r="O158" s="104">
        <v>0</v>
      </c>
    </row>
    <row r="159" spans="1:15" x14ac:dyDescent="0.2">
      <c r="A159" s="55" t="s">
        <v>181</v>
      </c>
      <c r="B159" s="55" t="s">
        <v>258</v>
      </c>
      <c r="C159" s="55">
        <v>4</v>
      </c>
      <c r="D159" s="55" t="s">
        <v>259</v>
      </c>
      <c r="E159" s="55">
        <v>2</v>
      </c>
      <c r="F159" s="55">
        <v>5671</v>
      </c>
      <c r="G159" s="54" t="s">
        <v>273</v>
      </c>
      <c r="H159" s="104">
        <v>20000</v>
      </c>
      <c r="I159" s="104">
        <v>0</v>
      </c>
      <c r="J159" s="104">
        <v>20000</v>
      </c>
      <c r="K159" s="104">
        <v>0</v>
      </c>
      <c r="L159" s="104">
        <v>4700</v>
      </c>
      <c r="M159" s="104">
        <v>4700</v>
      </c>
      <c r="N159" s="104">
        <v>4700</v>
      </c>
      <c r="O159" s="104">
        <v>0</v>
      </c>
    </row>
    <row r="160" spans="1:15" x14ac:dyDescent="0.2">
      <c r="A160" s="55" t="s">
        <v>181</v>
      </c>
      <c r="B160" s="55" t="s">
        <v>258</v>
      </c>
      <c r="C160" s="55">
        <v>4</v>
      </c>
      <c r="D160" s="55" t="s">
        <v>259</v>
      </c>
      <c r="E160" s="55">
        <v>2</v>
      </c>
      <c r="F160" s="55">
        <v>6231</v>
      </c>
      <c r="G160" s="54" t="s">
        <v>359</v>
      </c>
      <c r="H160" s="104">
        <v>0</v>
      </c>
      <c r="I160" s="104">
        <v>0</v>
      </c>
      <c r="J160" s="104">
        <v>0</v>
      </c>
      <c r="K160" s="104">
        <v>0</v>
      </c>
      <c r="L160" s="104">
        <v>484939.07</v>
      </c>
      <c r="M160" s="104">
        <v>484939.07</v>
      </c>
      <c r="N160" s="104">
        <v>350000</v>
      </c>
      <c r="O160" s="104">
        <v>0</v>
      </c>
    </row>
    <row r="161" spans="1:15" x14ac:dyDescent="0.2">
      <c r="A161" s="55" t="s">
        <v>181</v>
      </c>
      <c r="B161" s="55" t="s">
        <v>275</v>
      </c>
      <c r="G161" s="54" t="s">
        <v>274</v>
      </c>
      <c r="H161" s="104">
        <v>161939</v>
      </c>
      <c r="I161" s="104">
        <v>43125.11</v>
      </c>
      <c r="J161" s="104">
        <v>205064.11</v>
      </c>
      <c r="K161" s="104">
        <v>0</v>
      </c>
      <c r="L161" s="104">
        <v>41290.839999999997</v>
      </c>
      <c r="M161" s="104">
        <v>41290.839999999997</v>
      </c>
      <c r="N161" s="104">
        <v>41290.839999999997</v>
      </c>
      <c r="O161" s="104">
        <v>0</v>
      </c>
    </row>
    <row r="162" spans="1:15" x14ac:dyDescent="0.2">
      <c r="A162" s="55" t="s">
        <v>181</v>
      </c>
      <c r="B162" s="55" t="s">
        <v>275</v>
      </c>
      <c r="C162" s="55">
        <v>1</v>
      </c>
      <c r="G162" s="54" t="s">
        <v>294</v>
      </c>
      <c r="H162" s="104">
        <v>161939</v>
      </c>
      <c r="I162" s="104">
        <v>-99269.89</v>
      </c>
      <c r="J162" s="104">
        <v>62669.11</v>
      </c>
      <c r="K162" s="104">
        <v>0</v>
      </c>
      <c r="L162" s="104">
        <v>41290.839999999997</v>
      </c>
      <c r="M162" s="104">
        <v>41290.839999999997</v>
      </c>
      <c r="N162" s="104">
        <v>41290.839999999997</v>
      </c>
      <c r="O162" s="104">
        <v>0</v>
      </c>
    </row>
    <row r="163" spans="1:15" x14ac:dyDescent="0.2">
      <c r="A163" s="55" t="s">
        <v>181</v>
      </c>
      <c r="B163" s="55" t="s">
        <v>275</v>
      </c>
      <c r="C163" s="55">
        <v>1</v>
      </c>
      <c r="D163" s="55" t="s">
        <v>259</v>
      </c>
      <c r="G163" s="54" t="s">
        <v>346</v>
      </c>
      <c r="H163" s="104">
        <v>161939</v>
      </c>
      <c r="I163" s="104">
        <v>-99269.89</v>
      </c>
      <c r="J163" s="104">
        <v>62669.11</v>
      </c>
      <c r="K163" s="104">
        <v>0</v>
      </c>
      <c r="L163" s="104">
        <v>41290.839999999997</v>
      </c>
      <c r="M163" s="104">
        <v>41290.839999999997</v>
      </c>
      <c r="N163" s="104">
        <v>41290.839999999997</v>
      </c>
      <c r="O163" s="104">
        <v>0</v>
      </c>
    </row>
    <row r="164" spans="1:15" x14ac:dyDescent="0.2">
      <c r="A164" s="55" t="s">
        <v>181</v>
      </c>
      <c r="B164" s="55" t="s">
        <v>275</v>
      </c>
      <c r="C164" s="55">
        <v>1</v>
      </c>
      <c r="D164" s="55" t="s">
        <v>259</v>
      </c>
      <c r="E164" s="55">
        <v>1</v>
      </c>
      <c r="G164" s="54" t="s">
        <v>296</v>
      </c>
      <c r="H164" s="104">
        <v>161939</v>
      </c>
      <c r="I164" s="104">
        <v>-99269.89</v>
      </c>
      <c r="J164" s="104">
        <v>62669.11</v>
      </c>
      <c r="K164" s="104">
        <v>0</v>
      </c>
      <c r="L164" s="104">
        <v>41290.839999999997</v>
      </c>
      <c r="M164" s="104">
        <v>41290.839999999997</v>
      </c>
      <c r="N164" s="104">
        <v>41290.839999999997</v>
      </c>
      <c r="O164" s="104">
        <v>0</v>
      </c>
    </row>
    <row r="165" spans="1:15" x14ac:dyDescent="0.2">
      <c r="A165" s="55" t="s">
        <v>181</v>
      </c>
      <c r="B165" s="55" t="s">
        <v>275</v>
      </c>
      <c r="C165" s="55">
        <v>1</v>
      </c>
      <c r="D165" s="55" t="s">
        <v>259</v>
      </c>
      <c r="E165" s="55">
        <v>1</v>
      </c>
      <c r="F165" s="55">
        <v>1131</v>
      </c>
      <c r="G165" s="54" t="s">
        <v>207</v>
      </c>
      <c r="H165" s="104">
        <v>79116</v>
      </c>
      <c r="I165" s="104">
        <v>-46151</v>
      </c>
      <c r="J165" s="104">
        <v>32965</v>
      </c>
      <c r="K165" s="104">
        <v>0</v>
      </c>
      <c r="L165" s="104">
        <v>30766.81</v>
      </c>
      <c r="M165" s="104">
        <v>30766.81</v>
      </c>
      <c r="N165" s="104">
        <v>30766.81</v>
      </c>
      <c r="O165" s="104">
        <v>0</v>
      </c>
    </row>
    <row r="166" spans="1:15" x14ac:dyDescent="0.2">
      <c r="A166" s="55" t="s">
        <v>181</v>
      </c>
      <c r="B166" s="55" t="s">
        <v>275</v>
      </c>
      <c r="C166" s="55">
        <v>1</v>
      </c>
      <c r="D166" s="55" t="s">
        <v>259</v>
      </c>
      <c r="E166" s="55">
        <v>1</v>
      </c>
      <c r="F166" s="55">
        <v>1321</v>
      </c>
      <c r="G166" s="54" t="s">
        <v>208</v>
      </c>
      <c r="H166" s="104">
        <v>2043.83</v>
      </c>
      <c r="I166" s="104">
        <v>-1412.83</v>
      </c>
      <c r="J166" s="104">
        <v>631</v>
      </c>
      <c r="K166" s="104">
        <v>0</v>
      </c>
      <c r="L166" s="104">
        <v>631</v>
      </c>
      <c r="M166" s="104">
        <v>631</v>
      </c>
      <c r="N166" s="104">
        <v>631</v>
      </c>
      <c r="O166" s="104">
        <v>0</v>
      </c>
    </row>
    <row r="167" spans="1:15" x14ac:dyDescent="0.2">
      <c r="A167" s="55" t="s">
        <v>181</v>
      </c>
      <c r="B167" s="55" t="s">
        <v>275</v>
      </c>
      <c r="C167" s="55">
        <v>1</v>
      </c>
      <c r="D167" s="55" t="s">
        <v>259</v>
      </c>
      <c r="E167" s="55">
        <v>1</v>
      </c>
      <c r="F167" s="55">
        <v>1323</v>
      </c>
      <c r="G167" s="54" t="s">
        <v>316</v>
      </c>
      <c r="H167" s="104">
        <v>10988.33</v>
      </c>
      <c r="I167" s="104">
        <v>-6483.33</v>
      </c>
      <c r="J167" s="104">
        <v>4505</v>
      </c>
      <c r="K167" s="104">
        <v>0</v>
      </c>
      <c r="L167" s="104">
        <v>0</v>
      </c>
      <c r="M167" s="104">
        <v>0</v>
      </c>
      <c r="N167" s="104">
        <v>0</v>
      </c>
      <c r="O167" s="104">
        <v>0</v>
      </c>
    </row>
    <row r="168" spans="1:15" x14ac:dyDescent="0.2">
      <c r="A168" s="55" t="s">
        <v>181</v>
      </c>
      <c r="B168" s="55" t="s">
        <v>275</v>
      </c>
      <c r="C168" s="55">
        <v>1</v>
      </c>
      <c r="D168" s="55" t="s">
        <v>259</v>
      </c>
      <c r="E168" s="55">
        <v>1</v>
      </c>
      <c r="F168" s="55">
        <v>1413</v>
      </c>
      <c r="G168" s="54" t="s">
        <v>189</v>
      </c>
      <c r="H168" s="104">
        <v>10687.44</v>
      </c>
      <c r="I168" s="104">
        <v>-6234.33</v>
      </c>
      <c r="J168" s="104">
        <v>4453.1099999999997</v>
      </c>
      <c r="K168" s="104">
        <v>0</v>
      </c>
      <c r="L168" s="104">
        <v>4051.1</v>
      </c>
      <c r="M168" s="104">
        <v>4051.1</v>
      </c>
      <c r="N168" s="104">
        <v>4051.1</v>
      </c>
      <c r="O168" s="104">
        <v>0</v>
      </c>
    </row>
    <row r="169" spans="1:15" x14ac:dyDescent="0.2">
      <c r="A169" s="55" t="s">
        <v>181</v>
      </c>
      <c r="B169" s="55" t="s">
        <v>275</v>
      </c>
      <c r="C169" s="55">
        <v>1</v>
      </c>
      <c r="D169" s="55" t="s">
        <v>259</v>
      </c>
      <c r="E169" s="55">
        <v>1</v>
      </c>
      <c r="F169" s="55">
        <v>1421</v>
      </c>
      <c r="G169" s="54" t="s">
        <v>190</v>
      </c>
      <c r="H169" s="104">
        <v>4751.76</v>
      </c>
      <c r="I169" s="104">
        <v>-2951.76</v>
      </c>
      <c r="J169" s="104">
        <v>1800</v>
      </c>
      <c r="K169" s="104">
        <v>0</v>
      </c>
      <c r="L169" s="104">
        <v>1532.82</v>
      </c>
      <c r="M169" s="104">
        <v>1532.82</v>
      </c>
      <c r="N169" s="104">
        <v>1532.82</v>
      </c>
      <c r="O169" s="104">
        <v>0</v>
      </c>
    </row>
    <row r="170" spans="1:15" x14ac:dyDescent="0.2">
      <c r="A170" s="55" t="s">
        <v>181</v>
      </c>
      <c r="B170" s="55" t="s">
        <v>275</v>
      </c>
      <c r="C170" s="55">
        <v>1</v>
      </c>
      <c r="D170" s="55" t="s">
        <v>259</v>
      </c>
      <c r="E170" s="55">
        <v>1</v>
      </c>
      <c r="F170" s="55">
        <v>1431</v>
      </c>
      <c r="G170" s="54" t="s">
        <v>301</v>
      </c>
      <c r="H170" s="104">
        <v>4894.32</v>
      </c>
      <c r="I170" s="104">
        <v>-3315.32</v>
      </c>
      <c r="J170" s="104">
        <v>1579</v>
      </c>
      <c r="K170" s="104">
        <v>0</v>
      </c>
      <c r="L170" s="104">
        <v>1578.8</v>
      </c>
      <c r="M170" s="104">
        <v>1578.8</v>
      </c>
      <c r="N170" s="104">
        <v>1578.8</v>
      </c>
      <c r="O170" s="104">
        <v>0</v>
      </c>
    </row>
    <row r="171" spans="1:15" x14ac:dyDescent="0.2">
      <c r="A171" s="55" t="s">
        <v>181</v>
      </c>
      <c r="B171" s="55" t="s">
        <v>275</v>
      </c>
      <c r="C171" s="55">
        <v>1</v>
      </c>
      <c r="D171" s="55" t="s">
        <v>259</v>
      </c>
      <c r="E171" s="55">
        <v>1</v>
      </c>
      <c r="F171" s="55">
        <v>1511</v>
      </c>
      <c r="G171" s="54" t="s">
        <v>317</v>
      </c>
      <c r="H171" s="104">
        <v>1582.32</v>
      </c>
      <c r="I171" s="104">
        <v>-506.32</v>
      </c>
      <c r="J171" s="104">
        <v>1076</v>
      </c>
      <c r="K171" s="104">
        <v>0</v>
      </c>
      <c r="L171" s="104">
        <v>615</v>
      </c>
      <c r="M171" s="104">
        <v>615</v>
      </c>
      <c r="N171" s="104">
        <v>615</v>
      </c>
      <c r="O171" s="104">
        <v>0</v>
      </c>
    </row>
    <row r="172" spans="1:15" x14ac:dyDescent="0.2">
      <c r="A172" s="55" t="s">
        <v>181</v>
      </c>
      <c r="B172" s="55" t="s">
        <v>275</v>
      </c>
      <c r="C172" s="55">
        <v>1</v>
      </c>
      <c r="D172" s="55" t="s">
        <v>259</v>
      </c>
      <c r="E172" s="55">
        <v>1</v>
      </c>
      <c r="F172" s="55">
        <v>2221</v>
      </c>
      <c r="G172" s="54" t="s">
        <v>360</v>
      </c>
      <c r="H172" s="104">
        <v>30000</v>
      </c>
      <c r="I172" s="104">
        <v>-26000</v>
      </c>
      <c r="J172" s="104">
        <v>4000</v>
      </c>
      <c r="K172" s="104">
        <v>0</v>
      </c>
      <c r="L172" s="104">
        <v>1500</v>
      </c>
      <c r="M172" s="104">
        <v>1500</v>
      </c>
      <c r="N172" s="104">
        <v>1500</v>
      </c>
      <c r="O172" s="104">
        <v>0</v>
      </c>
    </row>
    <row r="173" spans="1:15" x14ac:dyDescent="0.2">
      <c r="A173" s="55" t="s">
        <v>181</v>
      </c>
      <c r="B173" s="55" t="s">
        <v>275</v>
      </c>
      <c r="C173" s="55">
        <v>1</v>
      </c>
      <c r="D173" s="55" t="s">
        <v>259</v>
      </c>
      <c r="E173" s="55">
        <v>1</v>
      </c>
      <c r="F173" s="55">
        <v>2491</v>
      </c>
      <c r="G173" s="54" t="s">
        <v>350</v>
      </c>
      <c r="H173" s="104">
        <v>10000</v>
      </c>
      <c r="I173" s="104">
        <v>-5000</v>
      </c>
      <c r="J173" s="104">
        <v>5000</v>
      </c>
      <c r="K173" s="104">
        <v>0</v>
      </c>
      <c r="L173" s="104">
        <v>0</v>
      </c>
      <c r="M173" s="104">
        <v>0</v>
      </c>
      <c r="N173" s="104">
        <v>0</v>
      </c>
      <c r="O173" s="104">
        <v>0</v>
      </c>
    </row>
    <row r="174" spans="1:15" x14ac:dyDescent="0.2">
      <c r="A174" s="55" t="s">
        <v>181</v>
      </c>
      <c r="B174" s="55" t="s">
        <v>275</v>
      </c>
      <c r="C174" s="55">
        <v>1</v>
      </c>
      <c r="D174" s="55" t="s">
        <v>259</v>
      </c>
      <c r="E174" s="55">
        <v>1</v>
      </c>
      <c r="F174" s="55">
        <v>3591</v>
      </c>
      <c r="G174" s="54" t="s">
        <v>357</v>
      </c>
      <c r="H174" s="104">
        <v>6000</v>
      </c>
      <c r="I174" s="104">
        <v>0</v>
      </c>
      <c r="J174" s="104">
        <v>6000</v>
      </c>
      <c r="K174" s="104">
        <v>0</v>
      </c>
      <c r="L174" s="104">
        <v>0</v>
      </c>
      <c r="M174" s="104">
        <v>0</v>
      </c>
      <c r="N174" s="104">
        <v>0</v>
      </c>
      <c r="O174" s="104">
        <v>0</v>
      </c>
    </row>
    <row r="175" spans="1:15" x14ac:dyDescent="0.2">
      <c r="A175" s="55" t="s">
        <v>181</v>
      </c>
      <c r="B175" s="55" t="s">
        <v>275</v>
      </c>
      <c r="C175" s="55">
        <v>1</v>
      </c>
      <c r="D175" s="55" t="s">
        <v>259</v>
      </c>
      <c r="E175" s="55">
        <v>1</v>
      </c>
      <c r="F175" s="55">
        <v>3981</v>
      </c>
      <c r="G175" s="54" t="s">
        <v>342</v>
      </c>
      <c r="H175" s="104">
        <v>1875</v>
      </c>
      <c r="I175" s="104">
        <v>-1215</v>
      </c>
      <c r="J175" s="104">
        <v>660</v>
      </c>
      <c r="K175" s="104">
        <v>0</v>
      </c>
      <c r="L175" s="104">
        <v>615.30999999999995</v>
      </c>
      <c r="M175" s="104">
        <v>615.30999999999995</v>
      </c>
      <c r="N175" s="104">
        <v>615.30999999999995</v>
      </c>
      <c r="O175" s="104">
        <v>0</v>
      </c>
    </row>
    <row r="176" spans="1:15" x14ac:dyDescent="0.2">
      <c r="A176" s="55" t="s">
        <v>181</v>
      </c>
      <c r="B176" s="55" t="s">
        <v>275</v>
      </c>
      <c r="C176" s="55">
        <v>4</v>
      </c>
      <c r="G176" s="54" t="s">
        <v>298</v>
      </c>
      <c r="H176" s="104">
        <v>0</v>
      </c>
      <c r="I176" s="104">
        <v>142395</v>
      </c>
      <c r="J176" s="104">
        <v>142395</v>
      </c>
      <c r="K176" s="104">
        <v>0</v>
      </c>
      <c r="L176" s="104">
        <v>0</v>
      </c>
      <c r="M176" s="104">
        <v>0</v>
      </c>
      <c r="N176" s="104">
        <v>0</v>
      </c>
      <c r="O176" s="104">
        <v>0</v>
      </c>
    </row>
    <row r="177" spans="1:15" x14ac:dyDescent="0.2">
      <c r="A177" s="55" t="s">
        <v>181</v>
      </c>
      <c r="B177" s="55" t="s">
        <v>275</v>
      </c>
      <c r="C177" s="55">
        <v>4</v>
      </c>
      <c r="D177" s="55" t="s">
        <v>259</v>
      </c>
      <c r="G177" s="54" t="s">
        <v>346</v>
      </c>
      <c r="H177" s="104">
        <v>0</v>
      </c>
      <c r="I177" s="104">
        <v>142395</v>
      </c>
      <c r="J177" s="104">
        <v>142395</v>
      </c>
      <c r="K177" s="104">
        <v>0</v>
      </c>
      <c r="L177" s="104">
        <v>0</v>
      </c>
      <c r="M177" s="104">
        <v>0</v>
      </c>
      <c r="N177" s="104">
        <v>0</v>
      </c>
      <c r="O177" s="104">
        <v>0</v>
      </c>
    </row>
    <row r="178" spans="1:15" x14ac:dyDescent="0.2">
      <c r="A178" s="55" t="s">
        <v>181</v>
      </c>
      <c r="B178" s="55" t="s">
        <v>275</v>
      </c>
      <c r="C178" s="55">
        <v>4</v>
      </c>
      <c r="D178" s="55" t="s">
        <v>259</v>
      </c>
      <c r="E178" s="55">
        <v>1</v>
      </c>
      <c r="G178" s="54" t="s">
        <v>296</v>
      </c>
      <c r="H178" s="104">
        <v>0</v>
      </c>
      <c r="I178" s="104">
        <v>142395</v>
      </c>
      <c r="J178" s="104">
        <v>142395</v>
      </c>
      <c r="K178" s="104">
        <v>0</v>
      </c>
      <c r="L178" s="104">
        <v>0</v>
      </c>
      <c r="M178" s="104">
        <v>0</v>
      </c>
      <c r="N178" s="104">
        <v>0</v>
      </c>
      <c r="O178" s="104">
        <v>0</v>
      </c>
    </row>
    <row r="179" spans="1:15" x14ac:dyDescent="0.2">
      <c r="A179" s="55" t="s">
        <v>181</v>
      </c>
      <c r="B179" s="55" t="s">
        <v>275</v>
      </c>
      <c r="C179" s="55">
        <v>4</v>
      </c>
      <c r="D179" s="55" t="s">
        <v>259</v>
      </c>
      <c r="E179" s="55">
        <v>1</v>
      </c>
      <c r="F179" s="55">
        <v>1131</v>
      </c>
      <c r="G179" s="54" t="s">
        <v>207</v>
      </c>
      <c r="H179" s="104">
        <v>0</v>
      </c>
      <c r="I179" s="104">
        <v>91000</v>
      </c>
      <c r="J179" s="104">
        <v>91000</v>
      </c>
      <c r="K179" s="104">
        <v>0</v>
      </c>
      <c r="L179" s="104">
        <v>0</v>
      </c>
      <c r="M179" s="104">
        <v>0</v>
      </c>
      <c r="N179" s="104">
        <v>0</v>
      </c>
      <c r="O179" s="104">
        <v>0</v>
      </c>
    </row>
    <row r="180" spans="1:15" x14ac:dyDescent="0.2">
      <c r="A180" s="55" t="s">
        <v>181</v>
      </c>
      <c r="B180" s="55" t="s">
        <v>275</v>
      </c>
      <c r="C180" s="55">
        <v>4</v>
      </c>
      <c r="D180" s="55" t="s">
        <v>259</v>
      </c>
      <c r="E180" s="55">
        <v>1</v>
      </c>
      <c r="F180" s="55">
        <v>1321</v>
      </c>
      <c r="G180" s="54" t="s">
        <v>208</v>
      </c>
      <c r="H180" s="104">
        <v>0</v>
      </c>
      <c r="I180" s="104">
        <v>2694</v>
      </c>
      <c r="J180" s="104">
        <v>2694</v>
      </c>
      <c r="K180" s="104">
        <v>0</v>
      </c>
      <c r="L180" s="104">
        <v>0</v>
      </c>
      <c r="M180" s="104">
        <v>0</v>
      </c>
      <c r="N180" s="104">
        <v>0</v>
      </c>
      <c r="O180" s="104">
        <v>0</v>
      </c>
    </row>
    <row r="181" spans="1:15" x14ac:dyDescent="0.2">
      <c r="A181" s="55" t="s">
        <v>181</v>
      </c>
      <c r="B181" s="55" t="s">
        <v>275</v>
      </c>
      <c r="C181" s="55">
        <v>4</v>
      </c>
      <c r="D181" s="55" t="s">
        <v>259</v>
      </c>
      <c r="E181" s="55">
        <v>1</v>
      </c>
      <c r="F181" s="55">
        <v>1323</v>
      </c>
      <c r="G181" s="54" t="s">
        <v>316</v>
      </c>
      <c r="H181" s="104">
        <v>0</v>
      </c>
      <c r="I181" s="104">
        <v>13836</v>
      </c>
      <c r="J181" s="104">
        <v>13836</v>
      </c>
      <c r="K181" s="104">
        <v>0</v>
      </c>
      <c r="L181" s="104">
        <v>0</v>
      </c>
      <c r="M181" s="104">
        <v>0</v>
      </c>
      <c r="N181" s="104">
        <v>0</v>
      </c>
      <c r="O181" s="104">
        <v>0</v>
      </c>
    </row>
    <row r="182" spans="1:15" x14ac:dyDescent="0.2">
      <c r="A182" s="55" t="s">
        <v>181</v>
      </c>
      <c r="B182" s="55" t="s">
        <v>275</v>
      </c>
      <c r="C182" s="55">
        <v>4</v>
      </c>
      <c r="D182" s="55" t="s">
        <v>259</v>
      </c>
      <c r="E182" s="55">
        <v>1</v>
      </c>
      <c r="F182" s="55">
        <v>1413</v>
      </c>
      <c r="G182" s="54" t="s">
        <v>189</v>
      </c>
      <c r="H182" s="104">
        <v>0</v>
      </c>
      <c r="I182" s="104">
        <v>17059</v>
      </c>
      <c r="J182" s="104">
        <v>17059</v>
      </c>
      <c r="K182" s="104">
        <v>0</v>
      </c>
      <c r="L182" s="104">
        <v>0</v>
      </c>
      <c r="M182" s="104">
        <v>0</v>
      </c>
      <c r="N182" s="104">
        <v>0</v>
      </c>
      <c r="O182" s="104">
        <v>0</v>
      </c>
    </row>
    <row r="183" spans="1:15" x14ac:dyDescent="0.2">
      <c r="A183" s="55" t="s">
        <v>181</v>
      </c>
      <c r="B183" s="55" t="s">
        <v>275</v>
      </c>
      <c r="C183" s="55">
        <v>4</v>
      </c>
      <c r="D183" s="55" t="s">
        <v>259</v>
      </c>
      <c r="E183" s="55">
        <v>1</v>
      </c>
      <c r="F183" s="55">
        <v>1421</v>
      </c>
      <c r="G183" s="54" t="s">
        <v>190</v>
      </c>
      <c r="H183" s="104">
        <v>0</v>
      </c>
      <c r="I183" s="104">
        <v>7576</v>
      </c>
      <c r="J183" s="104">
        <v>7576</v>
      </c>
      <c r="K183" s="104">
        <v>0</v>
      </c>
      <c r="L183" s="104">
        <v>0</v>
      </c>
      <c r="M183" s="104">
        <v>0</v>
      </c>
      <c r="N183" s="104">
        <v>0</v>
      </c>
      <c r="O183" s="104">
        <v>0</v>
      </c>
    </row>
    <row r="184" spans="1:15" x14ac:dyDescent="0.2">
      <c r="A184" s="55" t="s">
        <v>181</v>
      </c>
      <c r="B184" s="55" t="s">
        <v>275</v>
      </c>
      <c r="C184" s="55">
        <v>4</v>
      </c>
      <c r="D184" s="55" t="s">
        <v>259</v>
      </c>
      <c r="E184" s="55">
        <v>1</v>
      </c>
      <c r="F184" s="55">
        <v>1431</v>
      </c>
      <c r="G184" s="54" t="s">
        <v>301</v>
      </c>
      <c r="H184" s="104">
        <v>0</v>
      </c>
      <c r="I184" s="104">
        <v>8079</v>
      </c>
      <c r="J184" s="104">
        <v>8079</v>
      </c>
      <c r="K184" s="104">
        <v>0</v>
      </c>
      <c r="L184" s="104">
        <v>0</v>
      </c>
      <c r="M184" s="104">
        <v>0</v>
      </c>
      <c r="N184" s="104">
        <v>0</v>
      </c>
      <c r="O184" s="104">
        <v>0</v>
      </c>
    </row>
    <row r="185" spans="1:15" x14ac:dyDescent="0.2">
      <c r="A185" s="55" t="s">
        <v>181</v>
      </c>
      <c r="B185" s="55" t="s">
        <v>275</v>
      </c>
      <c r="C185" s="55">
        <v>4</v>
      </c>
      <c r="D185" s="55" t="s">
        <v>259</v>
      </c>
      <c r="E185" s="55">
        <v>1</v>
      </c>
      <c r="F185" s="55">
        <v>1511</v>
      </c>
      <c r="G185" s="54" t="s">
        <v>317</v>
      </c>
      <c r="H185" s="104">
        <v>0</v>
      </c>
      <c r="I185" s="104">
        <v>2151</v>
      </c>
      <c r="J185" s="104">
        <v>2151</v>
      </c>
      <c r="K185" s="104">
        <v>0</v>
      </c>
      <c r="L185" s="104">
        <v>0</v>
      </c>
      <c r="M185" s="104">
        <v>0</v>
      </c>
      <c r="N185" s="104">
        <v>0</v>
      </c>
      <c r="O185" s="104">
        <v>0</v>
      </c>
    </row>
    <row r="186" spans="1:15" x14ac:dyDescent="0.2">
      <c r="A186" s="55" t="s">
        <v>181</v>
      </c>
      <c r="B186" s="55" t="s">
        <v>248</v>
      </c>
      <c r="G186" s="54" t="s">
        <v>247</v>
      </c>
      <c r="H186" s="104">
        <v>1691800</v>
      </c>
      <c r="I186" s="104">
        <v>161000</v>
      </c>
      <c r="J186" s="104">
        <v>1852800</v>
      </c>
      <c r="K186" s="104">
        <v>0</v>
      </c>
      <c r="L186" s="104">
        <v>1886993.38</v>
      </c>
      <c r="M186" s="104">
        <v>1886993.38</v>
      </c>
      <c r="N186" s="104">
        <f>1886993.38-87306.99-664658.97</f>
        <v>1135027.42</v>
      </c>
      <c r="O186" s="104">
        <v>0</v>
      </c>
    </row>
    <row r="187" spans="1:15" x14ac:dyDescent="0.2">
      <c r="A187" s="55" t="s">
        <v>181</v>
      </c>
      <c r="B187" s="55" t="s">
        <v>248</v>
      </c>
      <c r="C187" s="55">
        <v>4</v>
      </c>
      <c r="D187" s="55" t="s">
        <v>246</v>
      </c>
      <c r="E187" s="55">
        <v>1</v>
      </c>
      <c r="F187" s="55">
        <v>1212</v>
      </c>
      <c r="G187" s="54" t="s">
        <v>299</v>
      </c>
      <c r="H187" s="104">
        <v>90000</v>
      </c>
      <c r="I187" s="104">
        <v>47561</v>
      </c>
      <c r="J187" s="104">
        <v>137561</v>
      </c>
      <c r="K187" s="104">
        <v>0</v>
      </c>
      <c r="L187" s="104">
        <v>135534.60999999999</v>
      </c>
      <c r="M187" s="104">
        <v>135534.60999999999</v>
      </c>
      <c r="N187" s="104">
        <f>135534.61-87306.99</f>
        <v>48227.619999999981</v>
      </c>
      <c r="O187" s="104">
        <v>0</v>
      </c>
    </row>
    <row r="188" spans="1:15" x14ac:dyDescent="0.2">
      <c r="A188" s="55" t="s">
        <v>181</v>
      </c>
      <c r="B188" s="55" t="s">
        <v>248</v>
      </c>
      <c r="C188" s="55">
        <v>4</v>
      </c>
      <c r="D188" s="55" t="s">
        <v>246</v>
      </c>
      <c r="E188" s="55">
        <v>1</v>
      </c>
      <c r="F188" s="55">
        <v>2212</v>
      </c>
      <c r="G188" s="54" t="s">
        <v>302</v>
      </c>
      <c r="H188" s="104">
        <v>0</v>
      </c>
      <c r="I188" s="104">
        <v>0</v>
      </c>
      <c r="J188" s="104">
        <v>0</v>
      </c>
      <c r="K188" s="104">
        <v>0</v>
      </c>
      <c r="L188" s="104">
        <v>11536.25</v>
      </c>
      <c r="M188" s="104">
        <v>11536.25</v>
      </c>
      <c r="N188" s="104">
        <v>11536.25</v>
      </c>
      <c r="O188" s="104">
        <v>0</v>
      </c>
    </row>
    <row r="189" spans="1:15" x14ac:dyDescent="0.2">
      <c r="A189" s="55" t="s">
        <v>181</v>
      </c>
      <c r="B189" s="55" t="s">
        <v>248</v>
      </c>
      <c r="C189" s="55">
        <v>4</v>
      </c>
      <c r="D189" s="55" t="s">
        <v>246</v>
      </c>
      <c r="E189" s="55">
        <v>1</v>
      </c>
      <c r="F189" s="55">
        <v>3621</v>
      </c>
      <c r="G189" s="54" t="s">
        <v>309</v>
      </c>
      <c r="H189" s="104">
        <v>0</v>
      </c>
      <c r="I189" s="104">
        <v>0</v>
      </c>
      <c r="J189" s="104">
        <v>0</v>
      </c>
      <c r="K189" s="104">
        <v>0</v>
      </c>
      <c r="L189" s="104">
        <v>90688.06</v>
      </c>
      <c r="M189" s="104">
        <v>90688.06</v>
      </c>
      <c r="N189" s="104">
        <f>90688.06-88874.94</f>
        <v>1813.1199999999953</v>
      </c>
      <c r="O189" s="104">
        <v>0</v>
      </c>
    </row>
    <row r="190" spans="1:15" x14ac:dyDescent="0.2">
      <c r="A190" s="55" t="s">
        <v>181</v>
      </c>
      <c r="B190" s="55" t="s">
        <v>248</v>
      </c>
      <c r="C190" s="55">
        <v>4</v>
      </c>
      <c r="D190" s="55" t="s">
        <v>246</v>
      </c>
      <c r="E190" s="55">
        <v>1</v>
      </c>
      <c r="F190" s="55">
        <v>3821</v>
      </c>
      <c r="G190" s="54" t="s">
        <v>185</v>
      </c>
      <c r="H190" s="104">
        <v>100000</v>
      </c>
      <c r="I190" s="104">
        <v>12500</v>
      </c>
      <c r="J190" s="104">
        <v>112500</v>
      </c>
      <c r="K190" s="104">
        <v>0</v>
      </c>
      <c r="L190" s="104">
        <v>448269.9</v>
      </c>
      <c r="M190" s="104">
        <v>448269.9</v>
      </c>
      <c r="N190" s="104">
        <f>448269.9-112718.01</f>
        <v>335551.89</v>
      </c>
      <c r="O190" s="104">
        <v>0</v>
      </c>
    </row>
    <row r="191" spans="1:15" x14ac:dyDescent="0.2">
      <c r="A191" s="55" t="s">
        <v>181</v>
      </c>
      <c r="B191" s="55" t="s">
        <v>248</v>
      </c>
      <c r="C191" s="55">
        <v>4</v>
      </c>
      <c r="D191" s="55" t="s">
        <v>246</v>
      </c>
      <c r="E191" s="55">
        <v>1</v>
      </c>
      <c r="F191" s="55">
        <v>3981</v>
      </c>
      <c r="G191" s="54" t="s">
        <v>342</v>
      </c>
      <c r="H191" s="104">
        <v>1800</v>
      </c>
      <c r="I191" s="104">
        <v>939</v>
      </c>
      <c r="J191" s="104">
        <v>2739</v>
      </c>
      <c r="K191" s="104">
        <v>0</v>
      </c>
      <c r="L191" s="104">
        <v>964.56</v>
      </c>
      <c r="M191" s="104">
        <v>964.56</v>
      </c>
      <c r="N191" s="104">
        <v>964.56</v>
      </c>
      <c r="O191" s="104">
        <v>0</v>
      </c>
    </row>
    <row r="192" spans="1:15" x14ac:dyDescent="0.2">
      <c r="A192" s="55" t="s">
        <v>181</v>
      </c>
      <c r="B192" s="55" t="s">
        <v>248</v>
      </c>
      <c r="C192" s="55">
        <v>5</v>
      </c>
      <c r="D192" s="55" t="s">
        <v>246</v>
      </c>
      <c r="E192" s="55">
        <v>1</v>
      </c>
      <c r="F192" s="55">
        <v>2212</v>
      </c>
      <c r="G192" s="54" t="s">
        <v>302</v>
      </c>
      <c r="H192" s="104">
        <v>130000</v>
      </c>
      <c r="I192" s="104">
        <v>-115000</v>
      </c>
      <c r="J192" s="104">
        <v>15000</v>
      </c>
      <c r="K192" s="104">
        <v>0</v>
      </c>
      <c r="L192" s="104">
        <v>0</v>
      </c>
      <c r="M192" s="104">
        <v>0</v>
      </c>
      <c r="N192" s="104">
        <v>0</v>
      </c>
      <c r="O192" s="104">
        <v>0</v>
      </c>
    </row>
    <row r="193" spans="1:15" x14ac:dyDescent="0.2">
      <c r="A193" s="55" t="s">
        <v>181</v>
      </c>
      <c r="B193" s="55" t="s">
        <v>248</v>
      </c>
      <c r="C193" s="55">
        <v>5</v>
      </c>
      <c r="D193" s="55" t="s">
        <v>246</v>
      </c>
      <c r="E193" s="55">
        <v>1</v>
      </c>
      <c r="F193" s="55">
        <v>3291</v>
      </c>
      <c r="G193" s="54" t="s">
        <v>250</v>
      </c>
      <c r="H193" s="104">
        <v>264104</v>
      </c>
      <c r="I193" s="104">
        <v>-214104</v>
      </c>
      <c r="J193" s="104">
        <v>50000</v>
      </c>
      <c r="K193" s="104">
        <v>0</v>
      </c>
      <c r="L193" s="104">
        <v>58000</v>
      </c>
      <c r="M193" s="104">
        <v>58000</v>
      </c>
      <c r="N193" s="104">
        <v>0</v>
      </c>
      <c r="O193" s="104">
        <v>0</v>
      </c>
    </row>
    <row r="194" spans="1:15" x14ac:dyDescent="0.2">
      <c r="A194" s="55" t="s">
        <v>181</v>
      </c>
      <c r="B194" s="55" t="s">
        <v>248</v>
      </c>
      <c r="C194" s="55">
        <v>5</v>
      </c>
      <c r="D194" s="55" t="s">
        <v>246</v>
      </c>
      <c r="E194" s="55">
        <v>1</v>
      </c>
      <c r="F194" s="55">
        <v>3621</v>
      </c>
      <c r="G194" s="54" t="s">
        <v>309</v>
      </c>
      <c r="H194" s="104">
        <v>212280</v>
      </c>
      <c r="I194" s="104">
        <v>-34280</v>
      </c>
      <c r="J194" s="104">
        <v>178000</v>
      </c>
      <c r="K194" s="104">
        <v>0</v>
      </c>
      <c r="L194" s="104">
        <v>131138.18</v>
      </c>
      <c r="M194" s="104">
        <v>131138.18</v>
      </c>
      <c r="N194" s="104">
        <f>131138.18-60925.38</f>
        <v>70212.799999999988</v>
      </c>
      <c r="O194" s="104">
        <v>0</v>
      </c>
    </row>
    <row r="195" spans="1:15" x14ac:dyDescent="0.2">
      <c r="A195" s="55" t="s">
        <v>181</v>
      </c>
      <c r="B195" s="55" t="s">
        <v>248</v>
      </c>
      <c r="C195" s="55">
        <v>5</v>
      </c>
      <c r="D195" s="55" t="s">
        <v>246</v>
      </c>
      <c r="E195" s="55">
        <v>1</v>
      </c>
      <c r="F195" s="55">
        <v>3821</v>
      </c>
      <c r="G195" s="54" t="s">
        <v>185</v>
      </c>
      <c r="H195" s="104">
        <v>593616</v>
      </c>
      <c r="I195" s="104">
        <v>363384</v>
      </c>
      <c r="J195" s="104">
        <v>957000</v>
      </c>
      <c r="K195" s="104">
        <v>0</v>
      </c>
      <c r="L195" s="104">
        <v>610861.81999999995</v>
      </c>
      <c r="M195" s="104">
        <v>610861.81999999995</v>
      </c>
      <c r="N195" s="104">
        <f>610861.82-140949.2</f>
        <v>469912.61999999994</v>
      </c>
      <c r="O195" s="104">
        <v>0</v>
      </c>
    </row>
    <row r="196" spans="1:15" x14ac:dyDescent="0.2">
      <c r="A196" s="55" t="s">
        <v>181</v>
      </c>
      <c r="B196" s="55" t="s">
        <v>248</v>
      </c>
      <c r="C196" s="55">
        <v>6</v>
      </c>
      <c r="D196" s="55" t="s">
        <v>246</v>
      </c>
      <c r="E196" s="55">
        <v>1</v>
      </c>
      <c r="F196" s="55">
        <v>3291</v>
      </c>
      <c r="G196" s="54" t="s">
        <v>250</v>
      </c>
      <c r="H196" s="104">
        <v>130000</v>
      </c>
      <c r="I196" s="104">
        <v>-40500</v>
      </c>
      <c r="J196" s="104">
        <v>89500</v>
      </c>
      <c r="K196" s="104">
        <v>0</v>
      </c>
      <c r="L196" s="104">
        <v>40600</v>
      </c>
      <c r="M196" s="104">
        <v>40600</v>
      </c>
      <c r="N196" s="104">
        <v>40600</v>
      </c>
      <c r="O196" s="104">
        <v>0</v>
      </c>
    </row>
    <row r="197" spans="1:15" x14ac:dyDescent="0.2">
      <c r="A197" s="55" t="s">
        <v>181</v>
      </c>
      <c r="B197" s="55" t="s">
        <v>248</v>
      </c>
      <c r="C197" s="55">
        <v>6</v>
      </c>
      <c r="D197" s="55" t="s">
        <v>246</v>
      </c>
      <c r="E197" s="55">
        <v>1</v>
      </c>
      <c r="F197" s="55">
        <v>3511</v>
      </c>
      <c r="G197" s="54" t="s">
        <v>307</v>
      </c>
      <c r="H197" s="104">
        <v>23200</v>
      </c>
      <c r="I197" s="104">
        <v>-8200</v>
      </c>
      <c r="J197" s="104">
        <v>15000</v>
      </c>
      <c r="K197" s="104">
        <v>0</v>
      </c>
      <c r="L197" s="104">
        <v>0</v>
      </c>
      <c r="M197" s="104">
        <v>0</v>
      </c>
      <c r="N197" s="104">
        <v>0</v>
      </c>
      <c r="O197" s="104">
        <v>0</v>
      </c>
    </row>
    <row r="198" spans="1:15" x14ac:dyDescent="0.2">
      <c r="A198" s="55" t="s">
        <v>181</v>
      </c>
      <c r="B198" s="55" t="s">
        <v>248</v>
      </c>
      <c r="C198" s="55">
        <v>6</v>
      </c>
      <c r="D198" s="55" t="s">
        <v>246</v>
      </c>
      <c r="E198" s="55">
        <v>1</v>
      </c>
      <c r="F198" s="55">
        <v>3621</v>
      </c>
      <c r="G198" s="54" t="s">
        <v>309</v>
      </c>
      <c r="H198" s="104">
        <v>107440</v>
      </c>
      <c r="I198" s="104">
        <v>10560</v>
      </c>
      <c r="J198" s="104">
        <v>118000</v>
      </c>
      <c r="K198" s="104">
        <v>0</v>
      </c>
      <c r="L198" s="104">
        <v>115682.36</v>
      </c>
      <c r="M198" s="104">
        <v>115682.36</v>
      </c>
      <c r="N198" s="104">
        <f>115682.36-102590.18</f>
        <v>13092.180000000008</v>
      </c>
      <c r="O198" s="104">
        <v>0</v>
      </c>
    </row>
    <row r="199" spans="1:15" x14ac:dyDescent="0.2">
      <c r="A199" s="55" t="s">
        <v>181</v>
      </c>
      <c r="B199" s="55" t="s">
        <v>248</v>
      </c>
      <c r="C199" s="55">
        <v>6</v>
      </c>
      <c r="D199" s="55" t="s">
        <v>246</v>
      </c>
      <c r="E199" s="55">
        <v>1</v>
      </c>
      <c r="F199" s="55">
        <v>3821</v>
      </c>
      <c r="G199" s="54" t="s">
        <v>185</v>
      </c>
      <c r="H199" s="104">
        <v>39360</v>
      </c>
      <c r="I199" s="104">
        <v>138140</v>
      </c>
      <c r="J199" s="104">
        <v>177500</v>
      </c>
      <c r="K199" s="104">
        <v>0</v>
      </c>
      <c r="L199" s="104">
        <v>243717.64</v>
      </c>
      <c r="M199" s="104">
        <v>243717.64</v>
      </c>
      <c r="N199" s="104">
        <f>243717.64-100601.26</f>
        <v>143116.38</v>
      </c>
      <c r="O199" s="104">
        <v>0</v>
      </c>
    </row>
    <row r="200" spans="1:15" x14ac:dyDescent="0.2">
      <c r="A200" s="55" t="s">
        <v>181</v>
      </c>
      <c r="B200" s="55" t="s">
        <v>252</v>
      </c>
      <c r="G200" s="54" t="s">
        <v>251</v>
      </c>
      <c r="H200" s="104">
        <v>3400000</v>
      </c>
      <c r="I200" s="104">
        <v>-1203395</v>
      </c>
      <c r="J200" s="104">
        <v>2196605</v>
      </c>
      <c r="K200" s="104">
        <v>0</v>
      </c>
      <c r="L200" s="104">
        <v>121600</v>
      </c>
      <c r="M200" s="104">
        <v>121600</v>
      </c>
      <c r="N200" s="104">
        <f>121600-34098.87</f>
        <v>87501.13</v>
      </c>
      <c r="O200" s="104">
        <v>0</v>
      </c>
    </row>
    <row r="201" spans="1:15" x14ac:dyDescent="0.2">
      <c r="A201" s="55" t="s">
        <v>181</v>
      </c>
      <c r="B201" s="55" t="s">
        <v>252</v>
      </c>
      <c r="C201" s="55">
        <v>4</v>
      </c>
      <c r="D201" s="55" t="s">
        <v>246</v>
      </c>
      <c r="E201" s="55">
        <v>1</v>
      </c>
      <c r="F201" s="55">
        <v>3821</v>
      </c>
      <c r="G201" s="54" t="s">
        <v>185</v>
      </c>
      <c r="H201" s="104">
        <v>3400000</v>
      </c>
      <c r="I201" s="104">
        <v>-1203395</v>
      </c>
      <c r="J201" s="104">
        <v>2196605</v>
      </c>
      <c r="K201" s="104">
        <v>0</v>
      </c>
      <c r="L201" s="104">
        <v>121600</v>
      </c>
      <c r="M201" s="104">
        <v>121600</v>
      </c>
      <c r="N201" s="104">
        <f>121600-34098.87</f>
        <v>87501.13</v>
      </c>
      <c r="O201" s="104">
        <v>0</v>
      </c>
    </row>
    <row r="202" spans="1:15" x14ac:dyDescent="0.2">
      <c r="A202" s="55" t="s">
        <v>181</v>
      </c>
      <c r="B202" s="55" t="s">
        <v>254</v>
      </c>
      <c r="G202" s="54" t="s">
        <v>253</v>
      </c>
      <c r="H202" s="104">
        <v>0</v>
      </c>
      <c r="I202" s="104">
        <v>0</v>
      </c>
      <c r="J202" s="104">
        <v>0</v>
      </c>
      <c r="K202" s="104">
        <v>0</v>
      </c>
      <c r="L202" s="104">
        <v>0</v>
      </c>
      <c r="M202" s="104">
        <v>0</v>
      </c>
      <c r="N202" s="104">
        <v>0</v>
      </c>
      <c r="O202" s="104">
        <v>0</v>
      </c>
    </row>
    <row r="203" spans="1:15" x14ac:dyDescent="0.2">
      <c r="A203" s="55" t="s">
        <v>181</v>
      </c>
      <c r="B203" s="55" t="s">
        <v>254</v>
      </c>
      <c r="C203" s="55">
        <v>4</v>
      </c>
      <c r="D203" s="55" t="s">
        <v>246</v>
      </c>
      <c r="E203" s="55">
        <v>1</v>
      </c>
      <c r="F203" s="55">
        <v>2212</v>
      </c>
      <c r="G203" s="54" t="s">
        <v>302</v>
      </c>
      <c r="H203" s="104">
        <v>70000</v>
      </c>
      <c r="I203" s="104">
        <v>0</v>
      </c>
      <c r="J203" s="104">
        <v>70000</v>
      </c>
      <c r="K203" s="104">
        <v>0</v>
      </c>
      <c r="L203" s="104">
        <v>0</v>
      </c>
      <c r="M203" s="104">
        <v>0</v>
      </c>
      <c r="N203" s="104">
        <v>0</v>
      </c>
      <c r="O203" s="104">
        <v>0</v>
      </c>
    </row>
    <row r="204" spans="1:15" x14ac:dyDescent="0.2">
      <c r="A204" s="55" t="s">
        <v>181</v>
      </c>
      <c r="B204" s="55" t="s">
        <v>254</v>
      </c>
      <c r="C204" s="55">
        <v>4</v>
      </c>
      <c r="D204" s="55" t="s">
        <v>246</v>
      </c>
      <c r="E204" s="55">
        <v>1</v>
      </c>
      <c r="F204" s="55">
        <v>3231</v>
      </c>
      <c r="G204" s="54" t="s">
        <v>288</v>
      </c>
      <c r="H204" s="104">
        <v>70000</v>
      </c>
      <c r="I204" s="104">
        <v>0</v>
      </c>
      <c r="J204" s="104">
        <v>70000</v>
      </c>
      <c r="K204" s="104">
        <v>0</v>
      </c>
      <c r="L204" s="104">
        <v>0</v>
      </c>
      <c r="M204" s="104">
        <v>0</v>
      </c>
      <c r="N204" s="104">
        <v>0</v>
      </c>
      <c r="O204" s="104">
        <v>0</v>
      </c>
    </row>
    <row r="205" spans="1:15" x14ac:dyDescent="0.2">
      <c r="A205" s="55" t="s">
        <v>181</v>
      </c>
      <c r="B205" s="55" t="s">
        <v>254</v>
      </c>
      <c r="C205" s="55">
        <v>4</v>
      </c>
      <c r="D205" s="55" t="s">
        <v>246</v>
      </c>
      <c r="E205" s="55">
        <v>1</v>
      </c>
      <c r="F205" s="55">
        <v>3291</v>
      </c>
      <c r="G205" s="54" t="s">
        <v>250</v>
      </c>
      <c r="H205" s="104">
        <v>200000</v>
      </c>
      <c r="I205" s="104">
        <v>0</v>
      </c>
      <c r="J205" s="104">
        <v>200000</v>
      </c>
      <c r="K205" s="104">
        <v>0</v>
      </c>
      <c r="L205" s="104">
        <v>0</v>
      </c>
      <c r="M205" s="104">
        <v>0</v>
      </c>
      <c r="N205" s="104">
        <v>0</v>
      </c>
      <c r="O205" s="104">
        <v>0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145</v>
      </c>
    </row>
    <row r="3" spans="1:1" x14ac:dyDescent="0.2">
      <c r="A3" s="52" t="s">
        <v>146</v>
      </c>
    </row>
    <row r="4" spans="1:1" x14ac:dyDescent="0.2">
      <c r="A4" s="78" t="s">
        <v>178</v>
      </c>
    </row>
    <row r="5" spans="1:1" x14ac:dyDescent="0.2">
      <c r="A5" s="52" t="s">
        <v>147</v>
      </c>
    </row>
    <row r="6" spans="1:1" ht="22.5" x14ac:dyDescent="0.2">
      <c r="A6" s="56" t="s">
        <v>148</v>
      </c>
    </row>
    <row r="7" spans="1:1" x14ac:dyDescent="0.2">
      <c r="A7" s="56" t="s">
        <v>149</v>
      </c>
    </row>
    <row r="8" spans="1:1" x14ac:dyDescent="0.2">
      <c r="A8" s="52" t="s">
        <v>150</v>
      </c>
    </row>
    <row r="9" spans="1:1" x14ac:dyDescent="0.2">
      <c r="A9" s="52" t="s">
        <v>151</v>
      </c>
    </row>
    <row r="10" spans="1:1" x14ac:dyDescent="0.2">
      <c r="A10" s="52" t="s">
        <v>152</v>
      </c>
    </row>
    <row r="11" spans="1:1" x14ac:dyDescent="0.2">
      <c r="A11" s="52" t="s">
        <v>153</v>
      </c>
    </row>
    <row r="12" spans="1:1" ht="33.75" x14ac:dyDescent="0.2">
      <c r="A12" s="52" t="s">
        <v>154</v>
      </c>
    </row>
    <row r="13" spans="1:1" ht="33.75" x14ac:dyDescent="0.2">
      <c r="A13" s="52" t="s">
        <v>155</v>
      </c>
    </row>
    <row r="14" spans="1:1" ht="22.5" x14ac:dyDescent="0.2">
      <c r="A14" s="52" t="s">
        <v>156</v>
      </c>
    </row>
    <row r="15" spans="1:1" x14ac:dyDescent="0.2">
      <c r="A15" s="52" t="s">
        <v>157</v>
      </c>
    </row>
    <row r="16" spans="1:1" x14ac:dyDescent="0.2">
      <c r="A16" s="52" t="s">
        <v>158</v>
      </c>
    </row>
    <row r="17" spans="1:1" x14ac:dyDescent="0.2">
      <c r="A17" s="52"/>
    </row>
    <row r="18" spans="1:1" x14ac:dyDescent="0.2">
      <c r="A18" s="34" t="s">
        <v>132</v>
      </c>
    </row>
    <row r="19" spans="1:1" x14ac:dyDescent="0.2">
      <c r="A19" s="52" t="s">
        <v>142</v>
      </c>
    </row>
    <row r="20" spans="1:1" x14ac:dyDescent="0.2">
      <c r="A20" s="52"/>
    </row>
    <row r="21" spans="1:1" x14ac:dyDescent="0.2">
      <c r="A21" s="34" t="s">
        <v>135</v>
      </c>
    </row>
    <row r="22" spans="1:1" x14ac:dyDescent="0.2">
      <c r="A22" s="52" t="s">
        <v>141</v>
      </c>
    </row>
    <row r="23" spans="1:1" x14ac:dyDescent="0.2">
      <c r="A23" s="52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selection activeCell="C5" sqref="C5:C54"/>
    </sheetView>
  </sheetViews>
  <sheetFormatPr baseColWidth="10" defaultRowHeight="11.25" x14ac:dyDescent="0.2"/>
  <cols>
    <col min="1" max="1" width="9.1640625" style="31" customWidth="1"/>
    <col min="2" max="2" width="61.1640625" style="31" bestFit="1" customWidth="1"/>
    <col min="3" max="3" width="18.33203125" style="31" customWidth="1"/>
    <col min="4" max="4" width="19.83203125" style="31" customWidth="1"/>
    <col min="5" max="8" width="18.33203125" style="31" customWidth="1"/>
    <col min="9" max="16384" width="12" style="31"/>
  </cols>
  <sheetData>
    <row r="1" spans="1:8" ht="60" customHeight="1" x14ac:dyDescent="0.2">
      <c r="A1" s="108" t="s">
        <v>277</v>
      </c>
      <c r="B1" s="109"/>
      <c r="C1" s="109"/>
      <c r="D1" s="109"/>
      <c r="E1" s="109"/>
      <c r="F1" s="109"/>
      <c r="G1" s="109"/>
      <c r="H1" s="110"/>
    </row>
    <row r="2" spans="1:8" ht="24.95" customHeight="1" x14ac:dyDescent="0.2">
      <c r="A2" s="40" t="s">
        <v>3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32">
        <v>900001</v>
      </c>
      <c r="B3" s="9" t="s">
        <v>12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1">
        <v>0</v>
      </c>
    </row>
    <row r="4" spans="1:8" x14ac:dyDescent="0.2">
      <c r="A4" s="57">
        <v>1000</v>
      </c>
      <c r="B4" s="24" t="s">
        <v>59</v>
      </c>
      <c r="C4" s="58"/>
      <c r="D4" s="58"/>
      <c r="E4" s="58"/>
      <c r="F4" s="58"/>
      <c r="G4" s="58"/>
      <c r="H4" s="59"/>
    </row>
    <row r="5" spans="1:8" x14ac:dyDescent="0.2">
      <c r="A5" s="57">
        <v>1100</v>
      </c>
      <c r="B5" s="60" t="s">
        <v>60</v>
      </c>
      <c r="C5" s="58">
        <v>2166816</v>
      </c>
      <c r="D5" s="58"/>
      <c r="E5" s="58"/>
      <c r="F5" s="58">
        <v>559905.97</v>
      </c>
      <c r="G5" s="58"/>
      <c r="H5" s="59"/>
    </row>
    <row r="6" spans="1:8" x14ac:dyDescent="0.2">
      <c r="A6" s="57">
        <v>1200</v>
      </c>
      <c r="B6" s="60" t="s">
        <v>61</v>
      </c>
      <c r="C6" s="58">
        <v>845068.28</v>
      </c>
      <c r="D6" s="58"/>
      <c r="E6" s="58"/>
      <c r="F6" s="58">
        <v>166000.37</v>
      </c>
      <c r="G6" s="58"/>
      <c r="H6" s="59"/>
    </row>
    <row r="7" spans="1:8" x14ac:dyDescent="0.2">
      <c r="A7" s="57">
        <v>1300</v>
      </c>
      <c r="B7" s="60" t="s">
        <v>62</v>
      </c>
      <c r="C7" s="58">
        <v>451132.75</v>
      </c>
      <c r="D7" s="58"/>
      <c r="E7" s="58"/>
      <c r="F7" s="58">
        <v>0</v>
      </c>
      <c r="G7" s="58"/>
      <c r="H7" s="59"/>
    </row>
    <row r="8" spans="1:8" x14ac:dyDescent="0.2">
      <c r="A8" s="57">
        <v>1400</v>
      </c>
      <c r="B8" s="60" t="s">
        <v>63</v>
      </c>
      <c r="C8" s="58">
        <v>517839.65</v>
      </c>
      <c r="D8" s="58"/>
      <c r="E8" s="58"/>
      <c r="F8" s="58">
        <v>72184.19</v>
      </c>
      <c r="G8" s="58"/>
      <c r="H8" s="59"/>
    </row>
    <row r="9" spans="1:8" x14ac:dyDescent="0.2">
      <c r="A9" s="57">
        <v>1500</v>
      </c>
      <c r="B9" s="60" t="s">
        <v>64</v>
      </c>
      <c r="C9" s="58">
        <v>193336.32000000001</v>
      </c>
      <c r="D9" s="58"/>
      <c r="E9" s="58"/>
      <c r="F9" s="58">
        <v>11232.77</v>
      </c>
      <c r="G9" s="58"/>
      <c r="H9" s="59"/>
    </row>
    <row r="10" spans="1:8" x14ac:dyDescent="0.2">
      <c r="A10" s="57">
        <v>1600</v>
      </c>
      <c r="B10" s="60" t="s">
        <v>65</v>
      </c>
      <c r="C10" s="58">
        <v>0</v>
      </c>
      <c r="D10" s="58"/>
      <c r="E10" s="58"/>
      <c r="F10" s="58">
        <v>0</v>
      </c>
      <c r="G10" s="58"/>
      <c r="H10" s="59"/>
    </row>
    <row r="11" spans="1:8" x14ac:dyDescent="0.2">
      <c r="A11" s="57">
        <v>1700</v>
      </c>
      <c r="B11" s="60" t="s">
        <v>66</v>
      </c>
      <c r="C11" s="58">
        <v>0</v>
      </c>
      <c r="D11" s="58"/>
      <c r="E11" s="58"/>
      <c r="F11" s="58">
        <v>0</v>
      </c>
      <c r="G11" s="58"/>
      <c r="H11" s="59"/>
    </row>
    <row r="12" spans="1:8" x14ac:dyDescent="0.2">
      <c r="A12" s="57">
        <v>2000</v>
      </c>
      <c r="B12" s="24" t="s">
        <v>67</v>
      </c>
      <c r="C12" s="58"/>
      <c r="D12" s="58"/>
      <c r="E12" s="58"/>
      <c r="F12" s="58"/>
      <c r="G12" s="58"/>
      <c r="H12" s="59"/>
    </row>
    <row r="13" spans="1:8" x14ac:dyDescent="0.2">
      <c r="A13" s="57">
        <v>2100</v>
      </c>
      <c r="B13" s="60" t="s">
        <v>68</v>
      </c>
      <c r="C13" s="58">
        <v>102728</v>
      </c>
      <c r="D13" s="58"/>
      <c r="E13" s="58"/>
      <c r="F13" s="58">
        <v>3518.18</v>
      </c>
      <c r="G13" s="58"/>
      <c r="H13" s="59"/>
    </row>
    <row r="14" spans="1:8" x14ac:dyDescent="0.2">
      <c r="A14" s="57">
        <v>2200</v>
      </c>
      <c r="B14" s="60" t="s">
        <v>69</v>
      </c>
      <c r="C14" s="58">
        <v>512000</v>
      </c>
      <c r="D14" s="58"/>
      <c r="E14" s="58"/>
      <c r="F14" s="58">
        <v>0</v>
      </c>
      <c r="G14" s="58"/>
      <c r="H14" s="59"/>
    </row>
    <row r="15" spans="1:8" x14ac:dyDescent="0.2">
      <c r="A15" s="57">
        <v>2300</v>
      </c>
      <c r="B15" s="60" t="s">
        <v>70</v>
      </c>
      <c r="C15" s="58">
        <v>0</v>
      </c>
      <c r="D15" s="58"/>
      <c r="E15" s="58"/>
      <c r="F15" s="58">
        <v>0</v>
      </c>
      <c r="G15" s="58"/>
      <c r="H15" s="59"/>
    </row>
    <row r="16" spans="1:8" x14ac:dyDescent="0.2">
      <c r="A16" s="57">
        <v>2400</v>
      </c>
      <c r="B16" s="60" t="s">
        <v>71</v>
      </c>
      <c r="C16" s="58">
        <v>55000</v>
      </c>
      <c r="D16" s="58"/>
      <c r="E16" s="58"/>
      <c r="F16" s="58">
        <v>0</v>
      </c>
      <c r="G16" s="58"/>
      <c r="H16" s="59"/>
    </row>
    <row r="17" spans="1:8" x14ac:dyDescent="0.2">
      <c r="A17" s="57">
        <v>2500</v>
      </c>
      <c r="B17" s="60" t="s">
        <v>72</v>
      </c>
      <c r="C17" s="58">
        <v>0</v>
      </c>
      <c r="D17" s="58"/>
      <c r="E17" s="58"/>
      <c r="F17" s="58">
        <v>0</v>
      </c>
      <c r="G17" s="58"/>
      <c r="H17" s="59"/>
    </row>
    <row r="18" spans="1:8" x14ac:dyDescent="0.2">
      <c r="A18" s="57">
        <v>2600</v>
      </c>
      <c r="B18" s="60" t="s">
        <v>73</v>
      </c>
      <c r="C18" s="58">
        <v>139000</v>
      </c>
      <c r="D18" s="58"/>
      <c r="E18" s="58"/>
      <c r="F18" s="58">
        <v>10405.378000000001</v>
      </c>
      <c r="G18" s="58"/>
      <c r="H18" s="59"/>
    </row>
    <row r="19" spans="1:8" x14ac:dyDescent="0.2">
      <c r="A19" s="57">
        <v>2700</v>
      </c>
      <c r="B19" s="60" t="s">
        <v>74</v>
      </c>
      <c r="C19" s="58">
        <v>15000</v>
      </c>
      <c r="D19" s="58"/>
      <c r="E19" s="58"/>
      <c r="F19" s="58">
        <v>0</v>
      </c>
      <c r="G19" s="58"/>
      <c r="H19" s="59"/>
    </row>
    <row r="20" spans="1:8" x14ac:dyDescent="0.2">
      <c r="A20" s="57">
        <v>2800</v>
      </c>
      <c r="B20" s="60" t="s">
        <v>75</v>
      </c>
      <c r="C20" s="58">
        <v>0</v>
      </c>
      <c r="D20" s="58"/>
      <c r="E20" s="58"/>
      <c r="F20" s="58">
        <v>0</v>
      </c>
      <c r="G20" s="58"/>
      <c r="H20" s="59"/>
    </row>
    <row r="21" spans="1:8" x14ac:dyDescent="0.2">
      <c r="A21" s="57">
        <v>2900</v>
      </c>
      <c r="B21" s="60" t="s">
        <v>76</v>
      </c>
      <c r="C21" s="58">
        <v>13000</v>
      </c>
      <c r="D21" s="58"/>
      <c r="E21" s="58"/>
      <c r="F21" s="58">
        <v>0</v>
      </c>
      <c r="G21" s="58"/>
      <c r="H21" s="59"/>
    </row>
    <row r="22" spans="1:8" x14ac:dyDescent="0.2">
      <c r="A22" s="57">
        <v>3000</v>
      </c>
      <c r="B22" s="24" t="s">
        <v>77</v>
      </c>
      <c r="C22" s="58"/>
      <c r="D22" s="58"/>
      <c r="E22" s="58"/>
      <c r="F22" s="58"/>
      <c r="G22" s="58"/>
      <c r="H22" s="59"/>
    </row>
    <row r="23" spans="1:8" x14ac:dyDescent="0.2">
      <c r="A23" s="57">
        <v>3100</v>
      </c>
      <c r="B23" s="60" t="s">
        <v>78</v>
      </c>
      <c r="C23" s="58">
        <v>953000</v>
      </c>
      <c r="D23" s="58"/>
      <c r="E23" s="58"/>
      <c r="F23" s="58">
        <v>23749.33</v>
      </c>
      <c r="G23" s="58"/>
      <c r="H23" s="59"/>
    </row>
    <row r="24" spans="1:8" x14ac:dyDescent="0.2">
      <c r="A24" s="57">
        <v>3200</v>
      </c>
      <c r="B24" s="60" t="s">
        <v>79</v>
      </c>
      <c r="C24" s="58">
        <v>664104</v>
      </c>
      <c r="D24" s="58"/>
      <c r="E24" s="58"/>
      <c r="F24" s="58">
        <v>0</v>
      </c>
      <c r="G24" s="58"/>
      <c r="H24" s="59"/>
    </row>
    <row r="25" spans="1:8" x14ac:dyDescent="0.2">
      <c r="A25" s="57">
        <v>3300</v>
      </c>
      <c r="B25" s="60" t="s">
        <v>80</v>
      </c>
      <c r="C25" s="58">
        <v>11284408</v>
      </c>
      <c r="D25" s="58"/>
      <c r="E25" s="58"/>
      <c r="F25" s="58">
        <v>3448.28</v>
      </c>
      <c r="G25" s="58"/>
      <c r="H25" s="59"/>
    </row>
    <row r="26" spans="1:8" x14ac:dyDescent="0.2">
      <c r="A26" s="57">
        <v>3400</v>
      </c>
      <c r="B26" s="60" t="s">
        <v>81</v>
      </c>
      <c r="C26" s="58">
        <v>167000</v>
      </c>
      <c r="D26" s="58"/>
      <c r="E26" s="58"/>
      <c r="F26" s="58">
        <v>9488.77</v>
      </c>
      <c r="G26" s="58"/>
      <c r="H26" s="59"/>
    </row>
    <row r="27" spans="1:8" x14ac:dyDescent="0.2">
      <c r="A27" s="57">
        <v>3500</v>
      </c>
      <c r="B27" s="60" t="s">
        <v>82</v>
      </c>
      <c r="C27" s="58">
        <v>2520200</v>
      </c>
      <c r="D27" s="58"/>
      <c r="E27" s="58"/>
      <c r="F27" s="58">
        <v>41448.720000000001</v>
      </c>
      <c r="G27" s="58"/>
      <c r="H27" s="59"/>
    </row>
    <row r="28" spans="1:8" x14ac:dyDescent="0.2">
      <c r="A28" s="57">
        <v>3600</v>
      </c>
      <c r="B28" s="60" t="s">
        <v>83</v>
      </c>
      <c r="C28" s="58">
        <v>2055720</v>
      </c>
      <c r="D28" s="58"/>
      <c r="E28" s="58"/>
      <c r="F28" s="58">
        <v>2730</v>
      </c>
      <c r="G28" s="58"/>
      <c r="H28" s="59"/>
    </row>
    <row r="29" spans="1:8" x14ac:dyDescent="0.2">
      <c r="A29" s="57">
        <v>3700</v>
      </c>
      <c r="B29" s="60" t="s">
        <v>84</v>
      </c>
      <c r="C29" s="58">
        <v>136000</v>
      </c>
      <c r="D29" s="58"/>
      <c r="E29" s="58"/>
      <c r="F29" s="58">
        <v>309.32</v>
      </c>
      <c r="G29" s="58"/>
      <c r="H29" s="59"/>
    </row>
    <row r="30" spans="1:8" x14ac:dyDescent="0.2">
      <c r="A30" s="57">
        <v>3800</v>
      </c>
      <c r="B30" s="60" t="s">
        <v>85</v>
      </c>
      <c r="C30" s="58">
        <v>20939949</v>
      </c>
      <c r="D30" s="58"/>
      <c r="E30" s="58"/>
      <c r="F30" s="58">
        <v>7718.41</v>
      </c>
      <c r="G30" s="58"/>
      <c r="H30" s="59"/>
    </row>
    <row r="31" spans="1:8" x14ac:dyDescent="0.2">
      <c r="A31" s="57">
        <v>3900</v>
      </c>
      <c r="B31" s="60" t="s">
        <v>86</v>
      </c>
      <c r="C31" s="58">
        <v>86089</v>
      </c>
      <c r="D31" s="58"/>
      <c r="E31" s="58"/>
      <c r="F31" s="58">
        <v>14518.5</v>
      </c>
      <c r="G31" s="58"/>
      <c r="H31" s="59"/>
    </row>
    <row r="32" spans="1:8" x14ac:dyDescent="0.2">
      <c r="A32" s="57">
        <v>4000</v>
      </c>
      <c r="B32" s="24" t="s">
        <v>87</v>
      </c>
      <c r="C32" s="58"/>
      <c r="D32" s="58"/>
      <c r="E32" s="58"/>
      <c r="F32" s="58"/>
      <c r="G32" s="58"/>
      <c r="H32" s="59"/>
    </row>
    <row r="33" spans="1:8" x14ac:dyDescent="0.2">
      <c r="A33" s="57">
        <v>4100</v>
      </c>
      <c r="B33" s="60" t="s">
        <v>88</v>
      </c>
      <c r="C33" s="58"/>
      <c r="D33" s="58"/>
      <c r="E33" s="58"/>
      <c r="F33" s="58"/>
      <c r="G33" s="58"/>
      <c r="H33" s="59"/>
    </row>
    <row r="34" spans="1:8" x14ac:dyDescent="0.2">
      <c r="A34" s="57">
        <v>4200</v>
      </c>
      <c r="B34" s="60" t="s">
        <v>89</v>
      </c>
      <c r="C34" s="58"/>
      <c r="D34" s="58"/>
      <c r="E34" s="58"/>
      <c r="F34" s="58"/>
      <c r="G34" s="58"/>
      <c r="H34" s="59"/>
    </row>
    <row r="35" spans="1:8" x14ac:dyDescent="0.2">
      <c r="A35" s="57">
        <v>4300</v>
      </c>
      <c r="B35" s="60" t="s">
        <v>90</v>
      </c>
      <c r="C35" s="58"/>
      <c r="D35" s="58"/>
      <c r="E35" s="58"/>
      <c r="F35" s="58"/>
      <c r="G35" s="58"/>
      <c r="H35" s="59"/>
    </row>
    <row r="36" spans="1:8" x14ac:dyDescent="0.2">
      <c r="A36" s="57">
        <v>4400</v>
      </c>
      <c r="B36" s="60" t="s">
        <v>91</v>
      </c>
      <c r="C36" s="58">
        <v>220000</v>
      </c>
      <c r="D36" s="58"/>
      <c r="E36" s="58"/>
      <c r="F36" s="58"/>
      <c r="G36" s="58"/>
      <c r="H36" s="59"/>
    </row>
    <row r="37" spans="1:8" x14ac:dyDescent="0.2">
      <c r="A37" s="57">
        <v>4500</v>
      </c>
      <c r="B37" s="60" t="s">
        <v>92</v>
      </c>
      <c r="C37" s="58"/>
      <c r="D37" s="58"/>
      <c r="E37" s="58"/>
      <c r="F37" s="58"/>
      <c r="G37" s="58"/>
      <c r="H37" s="59"/>
    </row>
    <row r="38" spans="1:8" x14ac:dyDescent="0.2">
      <c r="A38" s="57">
        <v>4600</v>
      </c>
      <c r="B38" s="60" t="s">
        <v>93</v>
      </c>
      <c r="C38" s="58"/>
      <c r="D38" s="58"/>
      <c r="E38" s="58"/>
      <c r="F38" s="58"/>
      <c r="G38" s="58"/>
      <c r="H38" s="59"/>
    </row>
    <row r="39" spans="1:8" x14ac:dyDescent="0.2">
      <c r="A39" s="57">
        <v>4700</v>
      </c>
      <c r="B39" s="60" t="s">
        <v>94</v>
      </c>
      <c r="C39" s="58"/>
      <c r="D39" s="58"/>
      <c r="E39" s="58"/>
      <c r="F39" s="58"/>
      <c r="G39" s="58"/>
      <c r="H39" s="59"/>
    </row>
    <row r="40" spans="1:8" x14ac:dyDescent="0.2">
      <c r="A40" s="57">
        <v>4800</v>
      </c>
      <c r="B40" s="60" t="s">
        <v>95</v>
      </c>
      <c r="C40" s="58"/>
      <c r="D40" s="58"/>
      <c r="E40" s="58"/>
      <c r="F40" s="58"/>
      <c r="G40" s="58"/>
      <c r="H40" s="59"/>
    </row>
    <row r="41" spans="1:8" x14ac:dyDescent="0.2">
      <c r="A41" s="57">
        <v>4900</v>
      </c>
      <c r="B41" s="60" t="s">
        <v>96</v>
      </c>
      <c r="C41" s="58"/>
      <c r="D41" s="58"/>
      <c r="E41" s="58"/>
      <c r="F41" s="58"/>
      <c r="G41" s="58"/>
      <c r="H41" s="59"/>
    </row>
    <row r="42" spans="1:8" x14ac:dyDescent="0.2">
      <c r="A42" s="57">
        <v>5000</v>
      </c>
      <c r="B42" s="24" t="s">
        <v>97</v>
      </c>
      <c r="C42" s="58"/>
      <c r="D42" s="58"/>
      <c r="E42" s="58"/>
      <c r="F42" s="58"/>
      <c r="G42" s="58"/>
      <c r="H42" s="59"/>
    </row>
    <row r="43" spans="1:8" x14ac:dyDescent="0.2">
      <c r="A43" s="57">
        <v>5100</v>
      </c>
      <c r="B43" s="60" t="s">
        <v>98</v>
      </c>
      <c r="C43" s="58">
        <v>40000</v>
      </c>
      <c r="D43" s="58"/>
      <c r="E43" s="58"/>
      <c r="F43" s="58"/>
      <c r="G43" s="58"/>
      <c r="H43" s="59"/>
    </row>
    <row r="44" spans="1:8" x14ac:dyDescent="0.2">
      <c r="A44" s="57">
        <v>5200</v>
      </c>
      <c r="B44" s="60" t="s">
        <v>99</v>
      </c>
      <c r="C44" s="58"/>
      <c r="D44" s="58"/>
      <c r="E44" s="58"/>
      <c r="F44" s="58"/>
      <c r="G44" s="58"/>
      <c r="H44" s="59"/>
    </row>
    <row r="45" spans="1:8" x14ac:dyDescent="0.2">
      <c r="A45" s="57">
        <v>5300</v>
      </c>
      <c r="B45" s="60" t="s">
        <v>100</v>
      </c>
      <c r="C45" s="58"/>
      <c r="D45" s="58"/>
      <c r="E45" s="58"/>
      <c r="F45" s="58"/>
      <c r="G45" s="58"/>
      <c r="H45" s="59"/>
    </row>
    <row r="46" spans="1:8" x14ac:dyDescent="0.2">
      <c r="A46" s="57">
        <v>5400</v>
      </c>
      <c r="B46" s="60" t="s">
        <v>101</v>
      </c>
      <c r="C46" s="58">
        <v>185000</v>
      </c>
      <c r="D46" s="58"/>
      <c r="E46" s="58"/>
      <c r="F46" s="58"/>
      <c r="G46" s="58"/>
      <c r="H46" s="59"/>
    </row>
    <row r="47" spans="1:8" x14ac:dyDescent="0.2">
      <c r="A47" s="57">
        <v>5500</v>
      </c>
      <c r="B47" s="60" t="s">
        <v>102</v>
      </c>
      <c r="C47" s="58"/>
      <c r="D47" s="58"/>
      <c r="E47" s="58"/>
      <c r="F47" s="58"/>
      <c r="G47" s="58"/>
      <c r="H47" s="59"/>
    </row>
    <row r="48" spans="1:8" x14ac:dyDescent="0.2">
      <c r="A48" s="57">
        <v>5600</v>
      </c>
      <c r="B48" s="60" t="s">
        <v>103</v>
      </c>
      <c r="C48" s="58">
        <v>20000</v>
      </c>
      <c r="D48" s="58"/>
      <c r="E48" s="58"/>
      <c r="F48" s="58"/>
      <c r="G48" s="58"/>
      <c r="H48" s="59"/>
    </row>
    <row r="49" spans="1:8" x14ac:dyDescent="0.2">
      <c r="A49" s="57">
        <v>5700</v>
      </c>
      <c r="B49" s="60" t="s">
        <v>104</v>
      </c>
      <c r="C49" s="58"/>
      <c r="D49" s="58"/>
      <c r="E49" s="58"/>
      <c r="F49" s="58"/>
      <c r="G49" s="58"/>
      <c r="H49" s="59"/>
    </row>
    <row r="50" spans="1:8" x14ac:dyDescent="0.2">
      <c r="A50" s="57">
        <v>5800</v>
      </c>
      <c r="B50" s="60" t="s">
        <v>105</v>
      </c>
      <c r="C50" s="58"/>
      <c r="D50" s="58"/>
      <c r="E50" s="58"/>
      <c r="F50" s="58"/>
      <c r="G50" s="58"/>
      <c r="H50" s="59"/>
    </row>
    <row r="51" spans="1:8" x14ac:dyDescent="0.2">
      <c r="A51" s="57">
        <v>5900</v>
      </c>
      <c r="B51" s="60" t="s">
        <v>106</v>
      </c>
      <c r="C51" s="58"/>
      <c r="D51" s="58"/>
      <c r="E51" s="58"/>
      <c r="F51" s="58"/>
      <c r="G51" s="58"/>
      <c r="H51" s="59"/>
    </row>
    <row r="52" spans="1:8" x14ac:dyDescent="0.2">
      <c r="A52" s="57">
        <v>6000</v>
      </c>
      <c r="B52" s="24" t="s">
        <v>129</v>
      </c>
      <c r="C52" s="58"/>
      <c r="D52" s="58"/>
      <c r="E52" s="58"/>
      <c r="F52" s="58"/>
      <c r="G52" s="58"/>
      <c r="H52" s="59"/>
    </row>
    <row r="53" spans="1:8" x14ac:dyDescent="0.2">
      <c r="A53" s="57">
        <v>6100</v>
      </c>
      <c r="B53" s="60" t="s">
        <v>107</v>
      </c>
      <c r="C53" s="58"/>
      <c r="D53" s="58"/>
      <c r="E53" s="58"/>
      <c r="F53" s="58"/>
      <c r="G53" s="58"/>
      <c r="H53" s="59"/>
    </row>
    <row r="54" spans="1:8" x14ac:dyDescent="0.2">
      <c r="A54" s="57">
        <v>6200</v>
      </c>
      <c r="B54" s="60" t="s">
        <v>108</v>
      </c>
      <c r="C54" s="58">
        <v>41000000</v>
      </c>
      <c r="D54" s="58"/>
      <c r="E54" s="58"/>
      <c r="F54" s="58"/>
      <c r="G54" s="58"/>
      <c r="H54" s="59"/>
    </row>
    <row r="55" spans="1:8" x14ac:dyDescent="0.2">
      <c r="A55" s="57">
        <v>6300</v>
      </c>
      <c r="B55" s="60" t="s">
        <v>109</v>
      </c>
      <c r="C55" s="58"/>
      <c r="D55" s="58"/>
      <c r="E55" s="58"/>
      <c r="F55" s="58"/>
      <c r="G55" s="58"/>
      <c r="H55" s="59"/>
    </row>
    <row r="56" spans="1:8" x14ac:dyDescent="0.2">
      <c r="A56" s="57">
        <v>7000</v>
      </c>
      <c r="B56" s="24" t="s">
        <v>110</v>
      </c>
      <c r="C56" s="58"/>
      <c r="D56" s="58"/>
      <c r="E56" s="58"/>
      <c r="F56" s="58"/>
      <c r="G56" s="58"/>
      <c r="H56" s="59"/>
    </row>
    <row r="57" spans="1:8" x14ac:dyDescent="0.2">
      <c r="A57" s="57">
        <v>7100</v>
      </c>
      <c r="B57" s="60" t="s">
        <v>111</v>
      </c>
      <c r="C57" s="58"/>
      <c r="D57" s="58"/>
      <c r="E57" s="58"/>
      <c r="F57" s="58"/>
      <c r="G57" s="58"/>
      <c r="H57" s="59"/>
    </row>
    <row r="58" spans="1:8" x14ac:dyDescent="0.2">
      <c r="A58" s="57">
        <v>7200</v>
      </c>
      <c r="B58" s="60" t="s">
        <v>112</v>
      </c>
      <c r="C58" s="58"/>
      <c r="D58" s="58"/>
      <c r="E58" s="58"/>
      <c r="F58" s="58"/>
      <c r="G58" s="58"/>
      <c r="H58" s="59"/>
    </row>
    <row r="59" spans="1:8" x14ac:dyDescent="0.2">
      <c r="A59" s="57">
        <v>7300</v>
      </c>
      <c r="B59" s="60" t="s">
        <v>113</v>
      </c>
      <c r="C59" s="58"/>
      <c r="D59" s="58"/>
      <c r="E59" s="58"/>
      <c r="F59" s="58"/>
      <c r="G59" s="58"/>
      <c r="H59" s="59"/>
    </row>
    <row r="60" spans="1:8" x14ac:dyDescent="0.2">
      <c r="A60" s="57">
        <v>7400</v>
      </c>
      <c r="B60" s="60" t="s">
        <v>114</v>
      </c>
      <c r="C60" s="58"/>
      <c r="D60" s="58"/>
      <c r="E60" s="58"/>
      <c r="F60" s="58"/>
      <c r="G60" s="58"/>
      <c r="H60" s="59"/>
    </row>
    <row r="61" spans="1:8" x14ac:dyDescent="0.2">
      <c r="A61" s="57">
        <v>7500</v>
      </c>
      <c r="B61" s="60" t="s">
        <v>115</v>
      </c>
      <c r="C61" s="58"/>
      <c r="D61" s="58"/>
      <c r="E61" s="58"/>
      <c r="F61" s="58"/>
      <c r="G61" s="58"/>
      <c r="H61" s="59"/>
    </row>
    <row r="62" spans="1:8" x14ac:dyDescent="0.2">
      <c r="A62" s="57">
        <v>7600</v>
      </c>
      <c r="B62" s="60" t="s">
        <v>116</v>
      </c>
      <c r="C62" s="58"/>
      <c r="D62" s="58"/>
      <c r="E62" s="58"/>
      <c r="F62" s="58"/>
      <c r="G62" s="58"/>
      <c r="H62" s="59"/>
    </row>
    <row r="63" spans="1:8" x14ac:dyDescent="0.2">
      <c r="A63" s="57">
        <v>7900</v>
      </c>
      <c r="B63" s="60" t="s">
        <v>117</v>
      </c>
      <c r="C63" s="58"/>
      <c r="D63" s="58"/>
      <c r="E63" s="58"/>
      <c r="F63" s="58"/>
      <c r="G63" s="58"/>
      <c r="H63" s="59"/>
    </row>
    <row r="64" spans="1:8" x14ac:dyDescent="0.2">
      <c r="A64" s="57">
        <v>8000</v>
      </c>
      <c r="B64" s="24" t="s">
        <v>118</v>
      </c>
      <c r="C64" s="58"/>
      <c r="D64" s="58"/>
      <c r="E64" s="58"/>
      <c r="F64" s="58"/>
      <c r="G64" s="58"/>
      <c r="H64" s="59"/>
    </row>
    <row r="65" spans="1:8" x14ac:dyDescent="0.2">
      <c r="A65" s="57">
        <v>8100</v>
      </c>
      <c r="B65" s="60" t="s">
        <v>119</v>
      </c>
      <c r="C65" s="58"/>
      <c r="D65" s="58"/>
      <c r="E65" s="58"/>
      <c r="F65" s="58"/>
      <c r="G65" s="58"/>
      <c r="H65" s="59"/>
    </row>
    <row r="66" spans="1:8" x14ac:dyDescent="0.2">
      <c r="A66" s="57">
        <v>8300</v>
      </c>
      <c r="B66" s="60" t="s">
        <v>120</v>
      </c>
      <c r="C66" s="58"/>
      <c r="D66" s="58"/>
      <c r="E66" s="58"/>
      <c r="F66" s="58"/>
      <c r="G66" s="58"/>
      <c r="H66" s="59"/>
    </row>
    <row r="67" spans="1:8" x14ac:dyDescent="0.2">
      <c r="A67" s="57">
        <v>8500</v>
      </c>
      <c r="B67" s="60" t="s">
        <v>121</v>
      </c>
      <c r="C67" s="58"/>
      <c r="D67" s="58"/>
      <c r="E67" s="58"/>
      <c r="F67" s="58"/>
      <c r="G67" s="58"/>
      <c r="H67" s="59"/>
    </row>
    <row r="68" spans="1:8" x14ac:dyDescent="0.2">
      <c r="A68" s="57">
        <v>9000</v>
      </c>
      <c r="B68" s="24" t="s">
        <v>130</v>
      </c>
      <c r="C68" s="58"/>
      <c r="D68" s="58"/>
      <c r="E68" s="58"/>
      <c r="F68" s="58"/>
      <c r="G68" s="58"/>
      <c r="H68" s="59"/>
    </row>
    <row r="69" spans="1:8" x14ac:dyDescent="0.2">
      <c r="A69" s="57">
        <v>9100</v>
      </c>
      <c r="B69" s="60" t="s">
        <v>122</v>
      </c>
      <c r="C69" s="58"/>
      <c r="D69" s="58"/>
      <c r="E69" s="58"/>
      <c r="F69" s="58"/>
      <c r="G69" s="58"/>
      <c r="H69" s="59"/>
    </row>
    <row r="70" spans="1:8" x14ac:dyDescent="0.2">
      <c r="A70" s="57">
        <v>9200</v>
      </c>
      <c r="B70" s="60" t="s">
        <v>123</v>
      </c>
      <c r="C70" s="58"/>
      <c r="D70" s="58"/>
      <c r="E70" s="58"/>
      <c r="F70" s="58"/>
      <c r="G70" s="58"/>
      <c r="H70" s="59"/>
    </row>
    <row r="71" spans="1:8" x14ac:dyDescent="0.2">
      <c r="A71" s="57">
        <v>9300</v>
      </c>
      <c r="B71" s="60" t="s">
        <v>124</v>
      </c>
      <c r="C71" s="58"/>
      <c r="D71" s="58"/>
      <c r="E71" s="58"/>
      <c r="F71" s="58"/>
      <c r="G71" s="58"/>
      <c r="H71" s="59"/>
    </row>
    <row r="72" spans="1:8" x14ac:dyDescent="0.2">
      <c r="A72" s="57">
        <v>9400</v>
      </c>
      <c r="B72" s="60" t="s">
        <v>125</v>
      </c>
      <c r="C72" s="58"/>
      <c r="D72" s="58"/>
      <c r="E72" s="58"/>
      <c r="F72" s="58"/>
      <c r="G72" s="58"/>
      <c r="H72" s="59"/>
    </row>
    <row r="73" spans="1:8" x14ac:dyDescent="0.2">
      <c r="A73" s="57">
        <v>9500</v>
      </c>
      <c r="B73" s="60" t="s">
        <v>126</v>
      </c>
      <c r="C73" s="58"/>
      <c r="D73" s="58"/>
      <c r="E73" s="58"/>
      <c r="F73" s="58"/>
      <c r="G73" s="58"/>
      <c r="H73" s="59"/>
    </row>
    <row r="74" spans="1:8" x14ac:dyDescent="0.2">
      <c r="A74" s="57">
        <v>9600</v>
      </c>
      <c r="B74" s="60" t="s">
        <v>127</v>
      </c>
      <c r="C74" s="58"/>
      <c r="D74" s="58"/>
      <c r="E74" s="58"/>
      <c r="F74" s="58"/>
      <c r="G74" s="58"/>
      <c r="H74" s="59"/>
    </row>
    <row r="75" spans="1:8" x14ac:dyDescent="0.2">
      <c r="A75" s="61">
        <v>9900</v>
      </c>
      <c r="B75" s="62" t="s">
        <v>128</v>
      </c>
      <c r="C75" s="63"/>
      <c r="D75" s="63"/>
      <c r="E75" s="63"/>
      <c r="F75" s="63"/>
      <c r="G75" s="63"/>
      <c r="H75" s="64"/>
    </row>
    <row r="76" spans="1:8" x14ac:dyDescent="0.2">
      <c r="A76" s="35"/>
      <c r="B76" s="35"/>
      <c r="C76" s="35"/>
      <c r="D76" s="35"/>
    </row>
    <row r="77" spans="1:8" x14ac:dyDescent="0.2">
      <c r="A77" s="65" t="s">
        <v>163</v>
      </c>
      <c r="B77" s="66"/>
      <c r="C77" s="66"/>
      <c r="D77" s="67"/>
    </row>
    <row r="78" spans="1:8" x14ac:dyDescent="0.2">
      <c r="A78" s="68"/>
      <c r="B78" s="66"/>
      <c r="C78" s="66"/>
      <c r="D78" s="67"/>
    </row>
    <row r="79" spans="1:8" x14ac:dyDescent="0.2">
      <c r="A79" s="69"/>
      <c r="B79" s="70"/>
      <c r="C79" s="69"/>
      <c r="D79" s="69"/>
    </row>
    <row r="80" spans="1:8" x14ac:dyDescent="0.2">
      <c r="A80" s="71"/>
      <c r="B80" s="69"/>
      <c r="C80" s="69"/>
      <c r="D80" s="69"/>
    </row>
    <row r="81" spans="1:4" x14ac:dyDescent="0.2">
      <c r="A81" s="71"/>
      <c r="B81" s="69" t="s">
        <v>164</v>
      </c>
      <c r="C81" s="71"/>
      <c r="D81" s="72" t="s">
        <v>164</v>
      </c>
    </row>
    <row r="82" spans="1:4" ht="22.5" x14ac:dyDescent="0.2">
      <c r="A82" s="71"/>
      <c r="B82" s="73" t="s">
        <v>165</v>
      </c>
      <c r="C82" s="74"/>
      <c r="D82" s="75" t="s">
        <v>165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workbookViewId="0">
      <selection activeCell="G48" sqref="G48"/>
    </sheetView>
  </sheetViews>
  <sheetFormatPr baseColWidth="10" defaultRowHeight="11.25" x14ac:dyDescent="0.2"/>
  <cols>
    <col min="1" max="1" width="9.1640625" style="31" customWidth="1"/>
    <col min="2" max="2" width="61.1640625" style="31" bestFit="1" customWidth="1"/>
    <col min="3" max="3" width="12.6640625" style="31" bestFit="1" customWidth="1"/>
    <col min="4" max="4" width="15.83203125" style="31" bestFit="1" customWidth="1"/>
    <col min="5" max="5" width="12.6640625" style="31" bestFit="1" customWidth="1"/>
    <col min="6" max="6" width="13.1640625" style="31" bestFit="1" customWidth="1"/>
    <col min="7" max="7" width="12.6640625" style="31" bestFit="1" customWidth="1"/>
    <col min="8" max="8" width="13.83203125" style="31" bestFit="1" customWidth="1"/>
    <col min="9" max="16384" width="12" style="31"/>
  </cols>
  <sheetData>
    <row r="1" spans="1:8" ht="60" customHeight="1" x14ac:dyDescent="0.2">
      <c r="A1" s="111" t="s">
        <v>365</v>
      </c>
      <c r="B1" s="112"/>
      <c r="C1" s="112"/>
      <c r="D1" s="112"/>
      <c r="E1" s="112"/>
      <c r="F1" s="112"/>
      <c r="G1" s="112"/>
      <c r="H1" s="113"/>
    </row>
    <row r="2" spans="1:8" ht="24.95" customHeight="1" x14ac:dyDescent="0.2">
      <c r="A2" s="40" t="s">
        <v>3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32">
        <v>900001</v>
      </c>
      <c r="B3" s="9" t="s">
        <v>12</v>
      </c>
      <c r="C3" s="10">
        <f>+C4+C12+C22+C32+C42+C52+C56+C64+C68</f>
        <v>85282391</v>
      </c>
      <c r="D3" s="10">
        <f t="shared" ref="D3:G3" si="0">+D4+D12+D22+D32+D42+D52+D56+D64+D68</f>
        <v>6368660.0000000009</v>
      </c>
      <c r="E3" s="10">
        <f t="shared" si="0"/>
        <v>91651051</v>
      </c>
      <c r="F3" s="10">
        <f t="shared" ref="F3" si="1">SUM(F4+F12+F22+F32+F42+F52+F56+F64+F68)</f>
        <v>27279128.200000003</v>
      </c>
      <c r="G3" s="10">
        <f t="shared" si="0"/>
        <v>20473417.699999999</v>
      </c>
      <c r="H3" s="11">
        <v>0</v>
      </c>
    </row>
    <row r="4" spans="1:8" x14ac:dyDescent="0.2">
      <c r="A4" s="57">
        <v>1000</v>
      </c>
      <c r="B4" s="24" t="s">
        <v>59</v>
      </c>
      <c r="C4" s="17">
        <f>SUM(C5:C11)</f>
        <v>4174193</v>
      </c>
      <c r="D4" s="17">
        <f t="shared" ref="D4:G4" si="2">SUM(D5:D11)</f>
        <v>-155986.16999999993</v>
      </c>
      <c r="E4" s="17">
        <f t="shared" si="2"/>
        <v>4018206.8300000005</v>
      </c>
      <c r="F4" s="106">
        <f t="shared" ref="F4" si="3">SUM(F5:F11)</f>
        <v>3722982.5700000003</v>
      </c>
      <c r="G4" s="17">
        <f t="shared" si="2"/>
        <v>3480882.55</v>
      </c>
      <c r="H4" s="59"/>
    </row>
    <row r="5" spans="1:8" x14ac:dyDescent="0.2">
      <c r="A5" s="57">
        <v>1100</v>
      </c>
      <c r="B5" s="60" t="s">
        <v>60</v>
      </c>
      <c r="C5" s="58">
        <v>2166816</v>
      </c>
      <c r="D5" s="58">
        <f>+E5-C5</f>
        <v>-98664.169999999925</v>
      </c>
      <c r="E5" s="58">
        <v>2068151.83</v>
      </c>
      <c r="F5" s="106">
        <v>2065634</v>
      </c>
      <c r="G5" s="58">
        <f>+F5</f>
        <v>2065634</v>
      </c>
      <c r="H5" s="59"/>
    </row>
    <row r="6" spans="1:8" x14ac:dyDescent="0.2">
      <c r="A6" s="57">
        <v>1200</v>
      </c>
      <c r="B6" s="60" t="s">
        <v>61</v>
      </c>
      <c r="C6" s="58">
        <v>845068.28</v>
      </c>
      <c r="D6" s="58">
        <f t="shared" ref="D6:D9" si="4">+E6-C6</f>
        <v>47561</v>
      </c>
      <c r="E6" s="58">
        <v>892629.28</v>
      </c>
      <c r="F6" s="106">
        <v>799999.91</v>
      </c>
      <c r="G6" s="58">
        <f>+F6-181577.26</f>
        <v>618422.65</v>
      </c>
      <c r="H6" s="59"/>
    </row>
    <row r="7" spans="1:8" x14ac:dyDescent="0.2">
      <c r="A7" s="57">
        <v>1300</v>
      </c>
      <c r="B7" s="60" t="s">
        <v>62</v>
      </c>
      <c r="C7" s="58">
        <v>451132.75</v>
      </c>
      <c r="D7" s="58">
        <f t="shared" si="4"/>
        <v>-6378.109999999986</v>
      </c>
      <c r="E7" s="58">
        <v>444754.64</v>
      </c>
      <c r="F7" s="106">
        <v>347088.73</v>
      </c>
      <c r="G7" s="58">
        <f t="shared" ref="G6:G11" si="5">+F7</f>
        <v>347088.73</v>
      </c>
      <c r="H7" s="59"/>
    </row>
    <row r="8" spans="1:8" x14ac:dyDescent="0.2">
      <c r="A8" s="57">
        <v>1400</v>
      </c>
      <c r="B8" s="60" t="s">
        <v>63</v>
      </c>
      <c r="C8" s="58">
        <v>517839.65</v>
      </c>
      <c r="D8" s="58">
        <f t="shared" si="4"/>
        <v>-8652.6500000000233</v>
      </c>
      <c r="E8" s="58">
        <v>509187</v>
      </c>
      <c r="F8" s="106">
        <v>468608.81</v>
      </c>
      <c r="G8" s="58">
        <f>+F8-60522.76</f>
        <v>408086.05</v>
      </c>
      <c r="H8" s="59"/>
    </row>
    <row r="9" spans="1:8" x14ac:dyDescent="0.2">
      <c r="A9" s="57">
        <v>1500</v>
      </c>
      <c r="B9" s="60" t="s">
        <v>64</v>
      </c>
      <c r="C9" s="58">
        <v>193336.32000000001</v>
      </c>
      <c r="D9" s="58">
        <f t="shared" si="4"/>
        <v>-89852.24</v>
      </c>
      <c r="E9" s="58">
        <v>103484.08</v>
      </c>
      <c r="F9" s="106">
        <v>41651.120000000003</v>
      </c>
      <c r="G9" s="58">
        <f t="shared" si="5"/>
        <v>41651.120000000003</v>
      </c>
      <c r="H9" s="59"/>
    </row>
    <row r="10" spans="1:8" x14ac:dyDescent="0.2">
      <c r="A10" s="57">
        <v>1600</v>
      </c>
      <c r="B10" s="60" t="s">
        <v>65</v>
      </c>
      <c r="C10" s="58">
        <v>0</v>
      </c>
      <c r="D10" s="58">
        <v>0</v>
      </c>
      <c r="E10" s="58">
        <f t="shared" ref="E10:E11" si="6">+C10+D10</f>
        <v>0</v>
      </c>
      <c r="F10" s="106">
        <v>0</v>
      </c>
      <c r="G10" s="58">
        <f t="shared" si="5"/>
        <v>0</v>
      </c>
      <c r="H10" s="59"/>
    </row>
    <row r="11" spans="1:8" x14ac:dyDescent="0.2">
      <c r="A11" s="57">
        <v>1700</v>
      </c>
      <c r="B11" s="60" t="s">
        <v>66</v>
      </c>
      <c r="C11" s="58">
        <v>0</v>
      </c>
      <c r="D11" s="58">
        <v>0</v>
      </c>
      <c r="E11" s="58">
        <f t="shared" si="6"/>
        <v>0</v>
      </c>
      <c r="F11" s="106">
        <v>0</v>
      </c>
      <c r="G11" s="58">
        <f t="shared" si="5"/>
        <v>0</v>
      </c>
      <c r="H11" s="59"/>
    </row>
    <row r="12" spans="1:8" x14ac:dyDescent="0.2">
      <c r="A12" s="57">
        <v>2000</v>
      </c>
      <c r="B12" s="24" t="s">
        <v>67</v>
      </c>
      <c r="C12" s="17">
        <f>SUM(C13:C21)</f>
        <v>836728</v>
      </c>
      <c r="D12" s="17">
        <f t="shared" ref="D12:G12" si="7">SUM(D13:D21)</f>
        <v>-289691</v>
      </c>
      <c r="E12" s="17">
        <f t="shared" si="7"/>
        <v>547037</v>
      </c>
      <c r="F12" s="106">
        <f t="shared" ref="F12" si="8">SUM(F13:F21)</f>
        <v>365030.53</v>
      </c>
      <c r="G12" s="17">
        <f t="shared" si="7"/>
        <v>150357.18</v>
      </c>
      <c r="H12" s="59"/>
    </row>
    <row r="13" spans="1:8" x14ac:dyDescent="0.2">
      <c r="A13" s="57">
        <v>2100</v>
      </c>
      <c r="B13" s="60" t="s">
        <v>68</v>
      </c>
      <c r="C13" s="58">
        <v>102728</v>
      </c>
      <c r="D13" s="58">
        <f t="shared" ref="D13:D14" si="9">+E13-C13</f>
        <v>-47828</v>
      </c>
      <c r="E13" s="58">
        <v>54900</v>
      </c>
      <c r="F13" s="106">
        <v>33682.550000000003</v>
      </c>
      <c r="G13" s="58">
        <f>+F13-16222.94</f>
        <v>17459.61</v>
      </c>
      <c r="H13" s="59"/>
    </row>
    <row r="14" spans="1:8" x14ac:dyDescent="0.2">
      <c r="A14" s="57">
        <v>2200</v>
      </c>
      <c r="B14" s="60" t="s">
        <v>69</v>
      </c>
      <c r="C14" s="58">
        <v>512000</v>
      </c>
      <c r="D14" s="58">
        <f t="shared" si="9"/>
        <v>-130363</v>
      </c>
      <c r="E14" s="58">
        <v>381637</v>
      </c>
      <c r="F14" s="106">
        <v>251893.65</v>
      </c>
      <c r="G14" s="58">
        <f>+F14-186527.65</f>
        <v>65366</v>
      </c>
      <c r="H14" s="59"/>
    </row>
    <row r="15" spans="1:8" x14ac:dyDescent="0.2">
      <c r="A15" s="57">
        <v>2300</v>
      </c>
      <c r="B15" s="60" t="s">
        <v>70</v>
      </c>
      <c r="C15" s="58">
        <v>0</v>
      </c>
      <c r="D15" s="58">
        <v>0</v>
      </c>
      <c r="E15" s="58">
        <f t="shared" ref="E15:E20" si="10">+C15+D15</f>
        <v>0</v>
      </c>
      <c r="F15" s="106">
        <v>0</v>
      </c>
      <c r="G15" s="58">
        <f t="shared" ref="G13:G21" si="11">+F15</f>
        <v>0</v>
      </c>
      <c r="H15" s="59"/>
    </row>
    <row r="16" spans="1:8" x14ac:dyDescent="0.2">
      <c r="A16" s="57">
        <v>2400</v>
      </c>
      <c r="B16" s="60" t="s">
        <v>71</v>
      </c>
      <c r="C16" s="58">
        <v>55000</v>
      </c>
      <c r="D16" s="58">
        <f>+E16-C16</f>
        <v>-37000</v>
      </c>
      <c r="E16" s="58">
        <v>18000</v>
      </c>
      <c r="F16" s="106">
        <v>0</v>
      </c>
      <c r="G16" s="58">
        <f t="shared" si="11"/>
        <v>0</v>
      </c>
      <c r="H16" s="59"/>
    </row>
    <row r="17" spans="1:8" x14ac:dyDescent="0.2">
      <c r="A17" s="57">
        <v>2500</v>
      </c>
      <c r="B17" s="60" t="s">
        <v>72</v>
      </c>
      <c r="C17" s="58">
        <v>0</v>
      </c>
      <c r="D17" s="58">
        <v>0</v>
      </c>
      <c r="E17" s="58">
        <f t="shared" si="10"/>
        <v>0</v>
      </c>
      <c r="F17" s="106">
        <v>0</v>
      </c>
      <c r="G17" s="58">
        <f t="shared" si="11"/>
        <v>0</v>
      </c>
      <c r="H17" s="59"/>
    </row>
    <row r="18" spans="1:8" x14ac:dyDescent="0.2">
      <c r="A18" s="57">
        <v>2600</v>
      </c>
      <c r="B18" s="60" t="s">
        <v>73</v>
      </c>
      <c r="C18" s="58">
        <v>139000</v>
      </c>
      <c r="D18" s="58">
        <f t="shared" ref="D18:D19" si="12">+E18-C18</f>
        <v>-53500</v>
      </c>
      <c r="E18" s="58">
        <v>85500</v>
      </c>
      <c r="F18" s="106">
        <v>79454.33</v>
      </c>
      <c r="G18" s="58">
        <f>+F18-11922.76</f>
        <v>67531.570000000007</v>
      </c>
      <c r="H18" s="59"/>
    </row>
    <row r="19" spans="1:8" x14ac:dyDescent="0.2">
      <c r="A19" s="57">
        <v>2700</v>
      </c>
      <c r="B19" s="60" t="s">
        <v>74</v>
      </c>
      <c r="C19" s="58">
        <v>15000</v>
      </c>
      <c r="D19" s="58">
        <f t="shared" si="12"/>
        <v>-12000</v>
      </c>
      <c r="E19" s="58">
        <v>3000</v>
      </c>
      <c r="F19" s="106">
        <v>0</v>
      </c>
      <c r="G19" s="58">
        <f t="shared" si="11"/>
        <v>0</v>
      </c>
      <c r="H19" s="59"/>
    </row>
    <row r="20" spans="1:8" x14ac:dyDescent="0.2">
      <c r="A20" s="57">
        <v>2800</v>
      </c>
      <c r="B20" s="60" t="s">
        <v>75</v>
      </c>
      <c r="C20" s="58">
        <v>0</v>
      </c>
      <c r="D20" s="58">
        <v>0</v>
      </c>
      <c r="E20" s="58">
        <f t="shared" si="10"/>
        <v>0</v>
      </c>
      <c r="F20" s="106">
        <v>0</v>
      </c>
      <c r="G20" s="58">
        <f t="shared" si="11"/>
        <v>0</v>
      </c>
      <c r="H20" s="59"/>
    </row>
    <row r="21" spans="1:8" x14ac:dyDescent="0.2">
      <c r="A21" s="57">
        <v>2900</v>
      </c>
      <c r="B21" s="60" t="s">
        <v>76</v>
      </c>
      <c r="C21" s="58">
        <v>13000</v>
      </c>
      <c r="D21" s="58">
        <f>+E21-C21</f>
        <v>-9000</v>
      </c>
      <c r="E21" s="58">
        <v>4000</v>
      </c>
      <c r="F21" s="106">
        <v>0</v>
      </c>
      <c r="G21" s="58">
        <f t="shared" si="11"/>
        <v>0</v>
      </c>
      <c r="H21" s="59"/>
    </row>
    <row r="22" spans="1:8" x14ac:dyDescent="0.2">
      <c r="A22" s="57">
        <v>3000</v>
      </c>
      <c r="B22" s="24" t="s">
        <v>77</v>
      </c>
      <c r="C22" s="17">
        <f>SUM(C23:C31)</f>
        <v>38806470</v>
      </c>
      <c r="D22" s="17">
        <f t="shared" ref="D22:G22" si="13">SUM(D23:D31)</f>
        <v>-389702.82999999949</v>
      </c>
      <c r="E22" s="17">
        <f t="shared" si="13"/>
        <v>38416767.170000002</v>
      </c>
      <c r="F22" s="106">
        <f t="shared" ref="F22" si="14">SUM(F23:F31)</f>
        <v>22228196.030000001</v>
      </c>
      <c r="G22" s="17">
        <f t="shared" si="13"/>
        <v>16030197.970000001</v>
      </c>
      <c r="H22" s="59"/>
    </row>
    <row r="23" spans="1:8" x14ac:dyDescent="0.2">
      <c r="A23" s="57">
        <v>3100</v>
      </c>
      <c r="B23" s="60" t="s">
        <v>78</v>
      </c>
      <c r="C23" s="58">
        <v>953000</v>
      </c>
      <c r="D23" s="58">
        <f t="shared" ref="D23:D31" si="15">+E23-C23</f>
        <v>120755</v>
      </c>
      <c r="E23" s="58">
        <v>1073755</v>
      </c>
      <c r="F23" s="106">
        <v>530821.77</v>
      </c>
      <c r="G23" s="58">
        <f>+F23-200853</f>
        <v>329968.77</v>
      </c>
      <c r="H23" s="59"/>
    </row>
    <row r="24" spans="1:8" x14ac:dyDescent="0.2">
      <c r="A24" s="57">
        <v>3200</v>
      </c>
      <c r="B24" s="60" t="s">
        <v>79</v>
      </c>
      <c r="C24" s="58">
        <v>664104</v>
      </c>
      <c r="D24" s="58">
        <f t="shared" si="15"/>
        <v>-288304</v>
      </c>
      <c r="E24" s="58">
        <v>375800</v>
      </c>
      <c r="F24" s="106">
        <v>104400</v>
      </c>
      <c r="G24" s="58">
        <f>+F24-62350</f>
        <v>42050</v>
      </c>
      <c r="H24" s="59"/>
    </row>
    <row r="25" spans="1:8" x14ac:dyDescent="0.2">
      <c r="A25" s="57">
        <v>3300</v>
      </c>
      <c r="B25" s="60" t="s">
        <v>80</v>
      </c>
      <c r="C25" s="58">
        <v>11284408</v>
      </c>
      <c r="D25" s="58">
        <f t="shared" si="15"/>
        <v>-276599</v>
      </c>
      <c r="E25" s="58">
        <v>11007809</v>
      </c>
      <c r="F25" s="106">
        <v>1863857.8</v>
      </c>
      <c r="G25" s="58">
        <f>+F25-969831.63</f>
        <v>894026.17</v>
      </c>
      <c r="H25" s="59"/>
    </row>
    <row r="26" spans="1:8" x14ac:dyDescent="0.2">
      <c r="A26" s="57">
        <v>3400</v>
      </c>
      <c r="B26" s="60" t="s">
        <v>81</v>
      </c>
      <c r="C26" s="58">
        <v>167000</v>
      </c>
      <c r="D26" s="58">
        <f t="shared" si="15"/>
        <v>532980</v>
      </c>
      <c r="E26" s="58">
        <v>699980</v>
      </c>
      <c r="F26" s="106">
        <v>613955.46</v>
      </c>
      <c r="G26" s="58">
        <f>+F26-50067.49</f>
        <v>563887.97</v>
      </c>
      <c r="H26" s="59"/>
    </row>
    <row r="27" spans="1:8" x14ac:dyDescent="0.2">
      <c r="A27" s="57">
        <v>3500</v>
      </c>
      <c r="B27" s="60" t="s">
        <v>82</v>
      </c>
      <c r="C27" s="58">
        <v>2520200</v>
      </c>
      <c r="D27" s="58">
        <f t="shared" si="15"/>
        <v>624050</v>
      </c>
      <c r="E27" s="58">
        <v>3144250</v>
      </c>
      <c r="F27" s="106">
        <v>1457131.78</v>
      </c>
      <c r="G27" s="58">
        <f>+F27-341080.86</f>
        <v>1116050.92</v>
      </c>
      <c r="H27" s="59"/>
    </row>
    <row r="28" spans="1:8" x14ac:dyDescent="0.2">
      <c r="A28" s="57">
        <v>3600</v>
      </c>
      <c r="B28" s="60" t="s">
        <v>83</v>
      </c>
      <c r="C28" s="58">
        <v>2055720</v>
      </c>
      <c r="D28" s="58">
        <f t="shared" si="15"/>
        <v>241480.35999999987</v>
      </c>
      <c r="E28" s="58">
        <v>2297200.36</v>
      </c>
      <c r="F28" s="106">
        <v>1853269.86</v>
      </c>
      <c r="G28" s="58">
        <f>+F28-1519433.49</f>
        <v>333836.37000000011</v>
      </c>
      <c r="H28" s="59"/>
    </row>
    <row r="29" spans="1:8" x14ac:dyDescent="0.2">
      <c r="A29" s="57">
        <v>3700</v>
      </c>
      <c r="B29" s="60" t="s">
        <v>84</v>
      </c>
      <c r="C29" s="58">
        <v>136000</v>
      </c>
      <c r="D29" s="58">
        <f t="shared" si="15"/>
        <v>-85000</v>
      </c>
      <c r="E29" s="58">
        <v>51000</v>
      </c>
      <c r="F29" s="106">
        <v>26454.39</v>
      </c>
      <c r="G29" s="58">
        <f>+F29-4119.49</f>
        <v>22334.9</v>
      </c>
      <c r="H29" s="59"/>
    </row>
    <row r="30" spans="1:8" x14ac:dyDescent="0.2">
      <c r="A30" s="57">
        <v>3800</v>
      </c>
      <c r="B30" s="60" t="s">
        <v>85</v>
      </c>
      <c r="C30" s="58">
        <v>20939949</v>
      </c>
      <c r="D30" s="58">
        <f t="shared" si="15"/>
        <v>-1328634.3599999994</v>
      </c>
      <c r="E30" s="58">
        <v>19611314.640000001</v>
      </c>
      <c r="F30" s="106">
        <v>15642387.49</v>
      </c>
      <c r="G30" s="58">
        <f>+F30-3009712.69</f>
        <v>12632674.800000001</v>
      </c>
      <c r="H30" s="59"/>
    </row>
    <row r="31" spans="1:8" x14ac:dyDescent="0.2">
      <c r="A31" s="57">
        <v>3900</v>
      </c>
      <c r="B31" s="60" t="s">
        <v>86</v>
      </c>
      <c r="C31" s="58">
        <v>86089</v>
      </c>
      <c r="D31" s="58">
        <f t="shared" si="15"/>
        <v>69569.170000000013</v>
      </c>
      <c r="E31" s="58">
        <v>155658.17000000001</v>
      </c>
      <c r="F31" s="106">
        <v>135917.48000000001</v>
      </c>
      <c r="G31" s="58">
        <f>+F31-40549.41</f>
        <v>95368.07</v>
      </c>
      <c r="H31" s="59"/>
    </row>
    <row r="32" spans="1:8" x14ac:dyDescent="0.2">
      <c r="A32" s="57">
        <v>4000</v>
      </c>
      <c r="B32" s="24" t="s">
        <v>87</v>
      </c>
      <c r="C32" s="17">
        <f>SUM(C33:C41)</f>
        <v>220000</v>
      </c>
      <c r="D32" s="17">
        <f t="shared" ref="D32:G32" si="16">SUM(D33:D41)</f>
        <v>0</v>
      </c>
      <c r="E32" s="17">
        <f t="shared" si="16"/>
        <v>220000</v>
      </c>
      <c r="F32" s="106">
        <f t="shared" ref="F32" si="17">SUM(F33:F41)</f>
        <v>0</v>
      </c>
      <c r="G32" s="17">
        <f t="shared" si="16"/>
        <v>0</v>
      </c>
      <c r="H32" s="59"/>
    </row>
    <row r="33" spans="1:8" x14ac:dyDescent="0.2">
      <c r="A33" s="57">
        <v>4100</v>
      </c>
      <c r="B33" s="60" t="s">
        <v>88</v>
      </c>
      <c r="C33" s="58">
        <v>0</v>
      </c>
      <c r="D33" s="58">
        <v>0</v>
      </c>
      <c r="E33" s="58">
        <f t="shared" ref="E33:E51" si="18">+C33-D33</f>
        <v>0</v>
      </c>
      <c r="F33" s="106">
        <v>0</v>
      </c>
      <c r="G33" s="58">
        <f t="shared" ref="G33:G51" si="19">+F33</f>
        <v>0</v>
      </c>
      <c r="H33" s="59"/>
    </row>
    <row r="34" spans="1:8" x14ac:dyDescent="0.2">
      <c r="A34" s="57">
        <v>4200</v>
      </c>
      <c r="B34" s="60" t="s">
        <v>89</v>
      </c>
      <c r="C34" s="58">
        <v>0</v>
      </c>
      <c r="D34" s="58">
        <v>0</v>
      </c>
      <c r="E34" s="58">
        <f t="shared" si="18"/>
        <v>0</v>
      </c>
      <c r="F34" s="106">
        <v>0</v>
      </c>
      <c r="G34" s="58">
        <f t="shared" si="19"/>
        <v>0</v>
      </c>
      <c r="H34" s="59"/>
    </row>
    <row r="35" spans="1:8" x14ac:dyDescent="0.2">
      <c r="A35" s="57">
        <v>4300</v>
      </c>
      <c r="B35" s="60" t="s">
        <v>90</v>
      </c>
      <c r="C35" s="58">
        <v>0</v>
      </c>
      <c r="D35" s="58">
        <v>0</v>
      </c>
      <c r="E35" s="58">
        <f t="shared" si="18"/>
        <v>0</v>
      </c>
      <c r="F35" s="106">
        <v>0</v>
      </c>
      <c r="G35" s="58">
        <f t="shared" si="19"/>
        <v>0</v>
      </c>
      <c r="H35" s="59"/>
    </row>
    <row r="36" spans="1:8" x14ac:dyDescent="0.2">
      <c r="A36" s="57">
        <v>4400</v>
      </c>
      <c r="B36" s="60" t="s">
        <v>91</v>
      </c>
      <c r="C36" s="58">
        <v>220000</v>
      </c>
      <c r="D36" s="58">
        <v>0</v>
      </c>
      <c r="E36" s="58">
        <f t="shared" si="18"/>
        <v>220000</v>
      </c>
      <c r="F36" s="106">
        <v>0</v>
      </c>
      <c r="G36" s="58">
        <f t="shared" si="19"/>
        <v>0</v>
      </c>
      <c r="H36" s="59"/>
    </row>
    <row r="37" spans="1:8" x14ac:dyDescent="0.2">
      <c r="A37" s="57">
        <v>4500</v>
      </c>
      <c r="B37" s="60" t="s">
        <v>92</v>
      </c>
      <c r="C37" s="58">
        <v>0</v>
      </c>
      <c r="D37" s="58">
        <v>0</v>
      </c>
      <c r="E37" s="58">
        <f t="shared" si="18"/>
        <v>0</v>
      </c>
      <c r="F37" s="106">
        <v>0</v>
      </c>
      <c r="G37" s="58">
        <f t="shared" si="19"/>
        <v>0</v>
      </c>
      <c r="H37" s="59"/>
    </row>
    <row r="38" spans="1:8" x14ac:dyDescent="0.2">
      <c r="A38" s="57">
        <v>4600</v>
      </c>
      <c r="B38" s="60" t="s">
        <v>93</v>
      </c>
      <c r="C38" s="58">
        <v>0</v>
      </c>
      <c r="D38" s="58">
        <v>0</v>
      </c>
      <c r="E38" s="58">
        <f t="shared" si="18"/>
        <v>0</v>
      </c>
      <c r="F38" s="106">
        <v>0</v>
      </c>
      <c r="G38" s="58">
        <f t="shared" si="19"/>
        <v>0</v>
      </c>
      <c r="H38" s="59"/>
    </row>
    <row r="39" spans="1:8" x14ac:dyDescent="0.2">
      <c r="A39" s="57">
        <v>4700</v>
      </c>
      <c r="B39" s="60" t="s">
        <v>94</v>
      </c>
      <c r="C39" s="58">
        <v>0</v>
      </c>
      <c r="D39" s="58">
        <v>0</v>
      </c>
      <c r="E39" s="58">
        <f t="shared" si="18"/>
        <v>0</v>
      </c>
      <c r="F39" s="106">
        <v>0</v>
      </c>
      <c r="G39" s="58">
        <f t="shared" si="19"/>
        <v>0</v>
      </c>
      <c r="H39" s="59"/>
    </row>
    <row r="40" spans="1:8" x14ac:dyDescent="0.2">
      <c r="A40" s="57">
        <v>4800</v>
      </c>
      <c r="B40" s="60" t="s">
        <v>95</v>
      </c>
      <c r="C40" s="58">
        <v>0</v>
      </c>
      <c r="D40" s="58">
        <v>0</v>
      </c>
      <c r="E40" s="58">
        <f t="shared" si="18"/>
        <v>0</v>
      </c>
      <c r="F40" s="106">
        <v>0</v>
      </c>
      <c r="G40" s="58">
        <f t="shared" si="19"/>
        <v>0</v>
      </c>
      <c r="H40" s="59"/>
    </row>
    <row r="41" spans="1:8" x14ac:dyDescent="0.2">
      <c r="A41" s="57">
        <v>4900</v>
      </c>
      <c r="B41" s="60" t="s">
        <v>96</v>
      </c>
      <c r="C41" s="58">
        <v>0</v>
      </c>
      <c r="D41" s="58">
        <v>0</v>
      </c>
      <c r="E41" s="58">
        <f t="shared" si="18"/>
        <v>0</v>
      </c>
      <c r="F41" s="106">
        <v>0</v>
      </c>
      <c r="G41" s="58">
        <f t="shared" si="19"/>
        <v>0</v>
      </c>
      <c r="H41" s="59"/>
    </row>
    <row r="42" spans="1:8" x14ac:dyDescent="0.2">
      <c r="A42" s="57">
        <v>5000</v>
      </c>
      <c r="B42" s="24" t="s">
        <v>97</v>
      </c>
      <c r="C42" s="58">
        <f>SUM(C43:C51)</f>
        <v>245000</v>
      </c>
      <c r="D42" s="58">
        <f>SUM(D43:D51)</f>
        <v>473280</v>
      </c>
      <c r="E42" s="58">
        <v>718280</v>
      </c>
      <c r="F42" s="106">
        <f t="shared" ref="F42" si="20">SUM(F43:F51)</f>
        <v>477980</v>
      </c>
      <c r="G42" s="17">
        <f>+G48</f>
        <v>461980</v>
      </c>
      <c r="H42" s="59"/>
    </row>
    <row r="43" spans="1:8" x14ac:dyDescent="0.2">
      <c r="A43" s="57">
        <v>5100</v>
      </c>
      <c r="B43" s="60" t="s">
        <v>98</v>
      </c>
      <c r="C43" s="58">
        <v>40000</v>
      </c>
      <c r="D43" s="58">
        <v>0</v>
      </c>
      <c r="E43" s="58">
        <f t="shared" si="18"/>
        <v>40000</v>
      </c>
      <c r="F43" s="106">
        <v>0</v>
      </c>
      <c r="G43" s="58">
        <f t="shared" si="19"/>
        <v>0</v>
      </c>
      <c r="H43" s="59"/>
    </row>
    <row r="44" spans="1:8" x14ac:dyDescent="0.2">
      <c r="A44" s="57">
        <v>5200</v>
      </c>
      <c r="B44" s="60" t="s">
        <v>99</v>
      </c>
      <c r="C44" s="58">
        <v>0</v>
      </c>
      <c r="D44" s="58">
        <v>0</v>
      </c>
      <c r="E44" s="58">
        <f t="shared" si="18"/>
        <v>0</v>
      </c>
      <c r="F44" s="106">
        <v>0</v>
      </c>
      <c r="G44" s="58">
        <f t="shared" si="19"/>
        <v>0</v>
      </c>
      <c r="H44" s="59"/>
    </row>
    <row r="45" spans="1:8" x14ac:dyDescent="0.2">
      <c r="A45" s="57">
        <v>5300</v>
      </c>
      <c r="B45" s="60" t="s">
        <v>100</v>
      </c>
      <c r="C45" s="58">
        <v>0</v>
      </c>
      <c r="D45" s="58">
        <v>0</v>
      </c>
      <c r="E45" s="58">
        <f t="shared" si="18"/>
        <v>0</v>
      </c>
      <c r="F45" s="106">
        <v>0</v>
      </c>
      <c r="G45" s="58">
        <f t="shared" si="19"/>
        <v>0</v>
      </c>
      <c r="H45" s="59"/>
    </row>
    <row r="46" spans="1:8" x14ac:dyDescent="0.2">
      <c r="A46" s="57">
        <v>5400</v>
      </c>
      <c r="B46" s="60" t="s">
        <v>101</v>
      </c>
      <c r="C46" s="58">
        <v>185000</v>
      </c>
      <c r="D46" s="58">
        <v>0</v>
      </c>
      <c r="E46" s="58">
        <f t="shared" si="18"/>
        <v>185000</v>
      </c>
      <c r="F46" s="106">
        <v>0</v>
      </c>
      <c r="G46" s="58">
        <f t="shared" si="19"/>
        <v>0</v>
      </c>
      <c r="H46" s="59"/>
    </row>
    <row r="47" spans="1:8" x14ac:dyDescent="0.2">
      <c r="A47" s="57">
        <v>5500</v>
      </c>
      <c r="B47" s="60" t="s">
        <v>102</v>
      </c>
      <c r="C47" s="58">
        <v>0</v>
      </c>
      <c r="D47" s="58">
        <v>0</v>
      </c>
      <c r="E47" s="58">
        <f t="shared" si="18"/>
        <v>0</v>
      </c>
      <c r="F47" s="106">
        <v>0</v>
      </c>
      <c r="G47" s="58">
        <f t="shared" si="19"/>
        <v>0</v>
      </c>
      <c r="H47" s="59"/>
    </row>
    <row r="48" spans="1:8" x14ac:dyDescent="0.2">
      <c r="A48" s="57">
        <v>5600</v>
      </c>
      <c r="B48" s="60" t="s">
        <v>103</v>
      </c>
      <c r="C48" s="58">
        <v>20000</v>
      </c>
      <c r="D48" s="58">
        <f>+E48-C48</f>
        <v>473280</v>
      </c>
      <c r="E48" s="58">
        <v>493280</v>
      </c>
      <c r="F48" s="106">
        <v>477980</v>
      </c>
      <c r="G48" s="58">
        <f>+F48-16000</f>
        <v>461980</v>
      </c>
      <c r="H48" s="59"/>
    </row>
    <row r="49" spans="1:8" x14ac:dyDescent="0.2">
      <c r="A49" s="57">
        <v>5700</v>
      </c>
      <c r="B49" s="60" t="s">
        <v>104</v>
      </c>
      <c r="C49" s="58">
        <v>0</v>
      </c>
      <c r="D49" s="58">
        <v>0</v>
      </c>
      <c r="E49" s="58">
        <f t="shared" si="18"/>
        <v>0</v>
      </c>
      <c r="F49" s="106">
        <v>0</v>
      </c>
      <c r="G49" s="58">
        <f t="shared" si="19"/>
        <v>0</v>
      </c>
      <c r="H49" s="59"/>
    </row>
    <row r="50" spans="1:8" x14ac:dyDescent="0.2">
      <c r="A50" s="57">
        <v>5800</v>
      </c>
      <c r="B50" s="60" t="s">
        <v>105</v>
      </c>
      <c r="C50" s="58">
        <v>0</v>
      </c>
      <c r="D50" s="58">
        <v>0</v>
      </c>
      <c r="E50" s="58">
        <f t="shared" si="18"/>
        <v>0</v>
      </c>
      <c r="F50" s="106">
        <v>0</v>
      </c>
      <c r="G50" s="58">
        <f t="shared" si="19"/>
        <v>0</v>
      </c>
      <c r="H50" s="59"/>
    </row>
    <row r="51" spans="1:8" x14ac:dyDescent="0.2">
      <c r="A51" s="57">
        <v>5900</v>
      </c>
      <c r="B51" s="60" t="s">
        <v>106</v>
      </c>
      <c r="C51" s="58">
        <v>0</v>
      </c>
      <c r="D51" s="58">
        <v>0</v>
      </c>
      <c r="E51" s="58">
        <f t="shared" si="18"/>
        <v>0</v>
      </c>
      <c r="F51" s="106">
        <v>0</v>
      </c>
      <c r="G51" s="58">
        <f t="shared" si="19"/>
        <v>0</v>
      </c>
      <c r="H51" s="59"/>
    </row>
    <row r="52" spans="1:8" x14ac:dyDescent="0.2">
      <c r="A52" s="57">
        <v>6000</v>
      </c>
      <c r="B52" s="24" t="s">
        <v>129</v>
      </c>
      <c r="C52" s="17">
        <f>+C54+C53+C55</f>
        <v>41000000</v>
      </c>
      <c r="D52" s="17">
        <f t="shared" ref="D52:G52" si="21">+D54+D53+D55</f>
        <v>0</v>
      </c>
      <c r="E52" s="17">
        <f t="shared" si="21"/>
        <v>41000000</v>
      </c>
      <c r="F52" s="106">
        <f t="shared" ref="F52" si="22">SUM(F53:F55)</f>
        <v>484939.07</v>
      </c>
      <c r="G52" s="17">
        <f t="shared" si="21"/>
        <v>350000</v>
      </c>
      <c r="H52" s="59"/>
    </row>
    <row r="53" spans="1:8" x14ac:dyDescent="0.2">
      <c r="A53" s="57">
        <v>6100</v>
      </c>
      <c r="B53" s="60" t="s">
        <v>107</v>
      </c>
      <c r="C53" s="58">
        <v>0</v>
      </c>
      <c r="D53" s="58">
        <v>0</v>
      </c>
      <c r="E53" s="58">
        <f t="shared" ref="E53:E55" si="23">+C53-D53</f>
        <v>0</v>
      </c>
      <c r="F53" s="106">
        <v>0</v>
      </c>
      <c r="G53" s="58">
        <f t="shared" ref="G53:G55" si="24">+F53</f>
        <v>0</v>
      </c>
      <c r="H53" s="59"/>
    </row>
    <row r="54" spans="1:8" x14ac:dyDescent="0.2">
      <c r="A54" s="57">
        <v>6200</v>
      </c>
      <c r="B54" s="60" t="s">
        <v>108</v>
      </c>
      <c r="C54" s="58">
        <v>41000000</v>
      </c>
      <c r="D54" s="58">
        <v>0</v>
      </c>
      <c r="E54" s="58">
        <f t="shared" si="23"/>
        <v>41000000</v>
      </c>
      <c r="F54" s="106">
        <v>484939.07</v>
      </c>
      <c r="G54" s="58">
        <v>350000</v>
      </c>
      <c r="H54" s="59"/>
    </row>
    <row r="55" spans="1:8" x14ac:dyDescent="0.2">
      <c r="A55" s="57">
        <v>6300</v>
      </c>
      <c r="B55" s="60" t="s">
        <v>109</v>
      </c>
      <c r="C55" s="58">
        <v>0</v>
      </c>
      <c r="D55" s="58">
        <v>0</v>
      </c>
      <c r="E55" s="58">
        <f t="shared" si="23"/>
        <v>0</v>
      </c>
      <c r="F55" s="106">
        <v>0</v>
      </c>
      <c r="G55" s="58">
        <f t="shared" si="24"/>
        <v>0</v>
      </c>
      <c r="H55" s="59"/>
    </row>
    <row r="56" spans="1:8" x14ac:dyDescent="0.2">
      <c r="A56" s="57">
        <v>7000</v>
      </c>
      <c r="B56" s="24" t="s">
        <v>110</v>
      </c>
      <c r="C56" s="17">
        <f>SUM(C57:C63)</f>
        <v>0</v>
      </c>
      <c r="D56" s="17">
        <f t="shared" ref="D56:G56" si="25">SUM(D57:D63)</f>
        <v>0</v>
      </c>
      <c r="E56" s="17">
        <f t="shared" si="25"/>
        <v>0</v>
      </c>
      <c r="F56" s="106">
        <f t="shared" ref="F56" si="26">SUM(F57:F63)</f>
        <v>0</v>
      </c>
      <c r="G56" s="17">
        <f t="shared" si="25"/>
        <v>0</v>
      </c>
      <c r="H56" s="59"/>
    </row>
    <row r="57" spans="1:8" x14ac:dyDescent="0.2">
      <c r="A57" s="57">
        <v>7100</v>
      </c>
      <c r="B57" s="60" t="s">
        <v>111</v>
      </c>
      <c r="C57" s="58">
        <v>0</v>
      </c>
      <c r="D57" s="58">
        <v>0</v>
      </c>
      <c r="E57" s="58">
        <f t="shared" ref="E57:E63" si="27">+C57-D57</f>
        <v>0</v>
      </c>
      <c r="F57" s="106">
        <v>0</v>
      </c>
      <c r="G57" s="58">
        <f t="shared" ref="G57:G63" si="28">+F57</f>
        <v>0</v>
      </c>
      <c r="H57" s="59"/>
    </row>
    <row r="58" spans="1:8" x14ac:dyDescent="0.2">
      <c r="A58" s="57">
        <v>7200</v>
      </c>
      <c r="B58" s="60" t="s">
        <v>112</v>
      </c>
      <c r="C58" s="58">
        <v>0</v>
      </c>
      <c r="D58" s="58">
        <v>0</v>
      </c>
      <c r="E58" s="58">
        <f t="shared" si="27"/>
        <v>0</v>
      </c>
      <c r="F58" s="106">
        <v>0</v>
      </c>
      <c r="G58" s="58">
        <f t="shared" si="28"/>
        <v>0</v>
      </c>
      <c r="H58" s="59"/>
    </row>
    <row r="59" spans="1:8" x14ac:dyDescent="0.2">
      <c r="A59" s="57">
        <v>7300</v>
      </c>
      <c r="B59" s="60" t="s">
        <v>113</v>
      </c>
      <c r="C59" s="58">
        <v>0</v>
      </c>
      <c r="D59" s="58">
        <v>0</v>
      </c>
      <c r="E59" s="58">
        <f t="shared" si="27"/>
        <v>0</v>
      </c>
      <c r="F59" s="106">
        <v>0</v>
      </c>
      <c r="G59" s="58">
        <f t="shared" si="28"/>
        <v>0</v>
      </c>
      <c r="H59" s="59"/>
    </row>
    <row r="60" spans="1:8" x14ac:dyDescent="0.2">
      <c r="A60" s="57">
        <v>7400</v>
      </c>
      <c r="B60" s="60" t="s">
        <v>114</v>
      </c>
      <c r="C60" s="58">
        <v>0</v>
      </c>
      <c r="D60" s="58">
        <v>0</v>
      </c>
      <c r="E60" s="58">
        <f t="shared" si="27"/>
        <v>0</v>
      </c>
      <c r="F60" s="106">
        <v>0</v>
      </c>
      <c r="G60" s="58">
        <f t="shared" si="28"/>
        <v>0</v>
      </c>
      <c r="H60" s="59"/>
    </row>
    <row r="61" spans="1:8" x14ac:dyDescent="0.2">
      <c r="A61" s="57">
        <v>7500</v>
      </c>
      <c r="B61" s="60" t="s">
        <v>115</v>
      </c>
      <c r="C61" s="58">
        <v>0</v>
      </c>
      <c r="D61" s="58">
        <v>0</v>
      </c>
      <c r="E61" s="58">
        <f t="shared" si="27"/>
        <v>0</v>
      </c>
      <c r="F61" s="106">
        <v>0</v>
      </c>
      <c r="G61" s="58">
        <f t="shared" si="28"/>
        <v>0</v>
      </c>
      <c r="H61" s="59"/>
    </row>
    <row r="62" spans="1:8" x14ac:dyDescent="0.2">
      <c r="A62" s="57">
        <v>7600</v>
      </c>
      <c r="B62" s="60" t="s">
        <v>116</v>
      </c>
      <c r="C62" s="58">
        <v>0</v>
      </c>
      <c r="D62" s="58">
        <v>0</v>
      </c>
      <c r="E62" s="58">
        <f t="shared" si="27"/>
        <v>0</v>
      </c>
      <c r="F62" s="106">
        <v>0</v>
      </c>
      <c r="G62" s="58">
        <f t="shared" si="28"/>
        <v>0</v>
      </c>
      <c r="H62" s="59"/>
    </row>
    <row r="63" spans="1:8" x14ac:dyDescent="0.2">
      <c r="A63" s="57">
        <v>7900</v>
      </c>
      <c r="B63" s="60" t="s">
        <v>117</v>
      </c>
      <c r="C63" s="58">
        <v>0</v>
      </c>
      <c r="D63" s="58">
        <v>0</v>
      </c>
      <c r="E63" s="58">
        <f t="shared" si="27"/>
        <v>0</v>
      </c>
      <c r="F63" s="106">
        <v>0</v>
      </c>
      <c r="G63" s="58">
        <f t="shared" si="28"/>
        <v>0</v>
      </c>
      <c r="H63" s="59"/>
    </row>
    <row r="64" spans="1:8" x14ac:dyDescent="0.2">
      <c r="A64" s="57">
        <v>8000</v>
      </c>
      <c r="B64" s="24" t="s">
        <v>118</v>
      </c>
      <c r="C64" s="17">
        <f>SUM(C65:C67)</f>
        <v>0</v>
      </c>
      <c r="D64" s="17">
        <f t="shared" ref="D64:G64" si="29">SUM(D65:D67)</f>
        <v>0</v>
      </c>
      <c r="E64" s="17">
        <f t="shared" si="29"/>
        <v>0</v>
      </c>
      <c r="F64" s="106">
        <f t="shared" ref="F64" si="30">SUM(F65:F67)</f>
        <v>0</v>
      </c>
      <c r="G64" s="17">
        <f t="shared" si="29"/>
        <v>0</v>
      </c>
      <c r="H64" s="59"/>
    </row>
    <row r="65" spans="1:8" x14ac:dyDescent="0.2">
      <c r="A65" s="57">
        <v>8100</v>
      </c>
      <c r="B65" s="60" t="s">
        <v>119</v>
      </c>
      <c r="C65" s="58">
        <v>0</v>
      </c>
      <c r="D65" s="58">
        <v>0</v>
      </c>
      <c r="E65" s="58">
        <f t="shared" ref="E65:E67" si="31">+C65-D65</f>
        <v>0</v>
      </c>
      <c r="F65" s="106">
        <v>0</v>
      </c>
      <c r="G65" s="58">
        <f t="shared" ref="G65:G67" si="32">+F65</f>
        <v>0</v>
      </c>
      <c r="H65" s="59"/>
    </row>
    <row r="66" spans="1:8" x14ac:dyDescent="0.2">
      <c r="A66" s="57">
        <v>8300</v>
      </c>
      <c r="B66" s="60" t="s">
        <v>120</v>
      </c>
      <c r="C66" s="58">
        <v>0</v>
      </c>
      <c r="D66" s="58">
        <v>0</v>
      </c>
      <c r="E66" s="58">
        <f t="shared" si="31"/>
        <v>0</v>
      </c>
      <c r="F66" s="106">
        <v>0</v>
      </c>
      <c r="G66" s="58">
        <f t="shared" si="32"/>
        <v>0</v>
      </c>
      <c r="H66" s="59"/>
    </row>
    <row r="67" spans="1:8" x14ac:dyDescent="0.2">
      <c r="A67" s="57">
        <v>8500</v>
      </c>
      <c r="B67" s="60" t="s">
        <v>121</v>
      </c>
      <c r="C67" s="58">
        <v>0</v>
      </c>
      <c r="D67" s="58">
        <v>0</v>
      </c>
      <c r="E67" s="58">
        <f t="shared" si="31"/>
        <v>0</v>
      </c>
      <c r="F67" s="106">
        <v>0</v>
      </c>
      <c r="G67" s="58">
        <f t="shared" si="32"/>
        <v>0</v>
      </c>
      <c r="H67" s="59"/>
    </row>
    <row r="68" spans="1:8" x14ac:dyDescent="0.2">
      <c r="A68" s="57">
        <v>9000</v>
      </c>
      <c r="B68" s="24" t="s">
        <v>130</v>
      </c>
      <c r="C68" s="17">
        <f>SUM(C69:C75)</f>
        <v>0</v>
      </c>
      <c r="D68" s="17">
        <f t="shared" ref="D68:G68" si="33">SUM(D69:D75)</f>
        <v>6730760</v>
      </c>
      <c r="E68" s="17">
        <f t="shared" si="33"/>
        <v>6730760</v>
      </c>
      <c r="F68" s="106">
        <f t="shared" ref="F68" si="34">SUM(F69:F75)</f>
        <v>0</v>
      </c>
      <c r="G68" s="17">
        <f t="shared" si="33"/>
        <v>0</v>
      </c>
      <c r="H68" s="59"/>
    </row>
    <row r="69" spans="1:8" x14ac:dyDescent="0.2">
      <c r="A69" s="57">
        <v>9100</v>
      </c>
      <c r="B69" s="60" t="s">
        <v>122</v>
      </c>
      <c r="C69" s="58">
        <v>0</v>
      </c>
      <c r="D69" s="58">
        <v>0</v>
      </c>
      <c r="E69" s="58">
        <f t="shared" ref="E69:E74" si="35">+C69-D69</f>
        <v>0</v>
      </c>
      <c r="F69" s="106">
        <v>0</v>
      </c>
      <c r="G69" s="58">
        <f t="shared" ref="G69:G75" si="36">+F69</f>
        <v>0</v>
      </c>
      <c r="H69" s="59"/>
    </row>
    <row r="70" spans="1:8" x14ac:dyDescent="0.2">
      <c r="A70" s="57">
        <v>9200</v>
      </c>
      <c r="B70" s="60" t="s">
        <v>123</v>
      </c>
      <c r="C70" s="58">
        <v>0</v>
      </c>
      <c r="D70" s="58">
        <v>0</v>
      </c>
      <c r="E70" s="58">
        <f t="shared" si="35"/>
        <v>0</v>
      </c>
      <c r="F70" s="106">
        <v>0</v>
      </c>
      <c r="G70" s="58">
        <f t="shared" si="36"/>
        <v>0</v>
      </c>
      <c r="H70" s="59"/>
    </row>
    <row r="71" spans="1:8" x14ac:dyDescent="0.2">
      <c r="A71" s="57">
        <v>9300</v>
      </c>
      <c r="B71" s="60" t="s">
        <v>124</v>
      </c>
      <c r="C71" s="58">
        <v>0</v>
      </c>
      <c r="D71" s="58">
        <v>0</v>
      </c>
      <c r="E71" s="58">
        <f t="shared" si="35"/>
        <v>0</v>
      </c>
      <c r="F71" s="106">
        <v>0</v>
      </c>
      <c r="G71" s="58">
        <f t="shared" si="36"/>
        <v>0</v>
      </c>
      <c r="H71" s="59"/>
    </row>
    <row r="72" spans="1:8" x14ac:dyDescent="0.2">
      <c r="A72" s="57">
        <v>9400</v>
      </c>
      <c r="B72" s="60" t="s">
        <v>125</v>
      </c>
      <c r="C72" s="58">
        <v>0</v>
      </c>
      <c r="D72" s="58">
        <v>0</v>
      </c>
      <c r="E72" s="58">
        <f t="shared" si="35"/>
        <v>0</v>
      </c>
      <c r="F72" s="106">
        <v>0</v>
      </c>
      <c r="G72" s="58">
        <f t="shared" si="36"/>
        <v>0</v>
      </c>
      <c r="H72" s="59"/>
    </row>
    <row r="73" spans="1:8" x14ac:dyDescent="0.2">
      <c r="A73" s="57">
        <v>9500</v>
      </c>
      <c r="B73" s="60" t="s">
        <v>126</v>
      </c>
      <c r="C73" s="58">
        <v>0</v>
      </c>
      <c r="D73" s="58">
        <v>0</v>
      </c>
      <c r="E73" s="58">
        <f t="shared" si="35"/>
        <v>0</v>
      </c>
      <c r="F73" s="106">
        <v>0</v>
      </c>
      <c r="G73" s="58">
        <f t="shared" si="36"/>
        <v>0</v>
      </c>
      <c r="H73" s="59"/>
    </row>
    <row r="74" spans="1:8" x14ac:dyDescent="0.2">
      <c r="A74" s="57">
        <v>9600</v>
      </c>
      <c r="B74" s="60" t="s">
        <v>127</v>
      </c>
      <c r="C74" s="58">
        <v>0</v>
      </c>
      <c r="D74" s="58">
        <v>0</v>
      </c>
      <c r="E74" s="58">
        <f t="shared" si="35"/>
        <v>0</v>
      </c>
      <c r="F74" s="106">
        <v>0</v>
      </c>
      <c r="G74" s="58">
        <f t="shared" si="36"/>
        <v>0</v>
      </c>
      <c r="H74" s="59"/>
    </row>
    <row r="75" spans="1:8" x14ac:dyDescent="0.2">
      <c r="A75" s="61">
        <v>9900</v>
      </c>
      <c r="B75" s="62" t="s">
        <v>128</v>
      </c>
      <c r="C75" s="63">
        <v>0</v>
      </c>
      <c r="D75" s="63">
        <v>6730760</v>
      </c>
      <c r="E75" s="63">
        <f>+C75+D75</f>
        <v>6730760</v>
      </c>
      <c r="F75" s="107">
        <v>0</v>
      </c>
      <c r="G75" s="63">
        <f t="shared" si="36"/>
        <v>0</v>
      </c>
      <c r="H75" s="64"/>
    </row>
    <row r="76" spans="1:8" x14ac:dyDescent="0.2">
      <c r="A76" s="35"/>
      <c r="B76" s="35"/>
      <c r="C76" s="35"/>
      <c r="D76" s="35"/>
    </row>
    <row r="77" spans="1:8" x14ac:dyDescent="0.2">
      <c r="A77" s="65" t="s">
        <v>163</v>
      </c>
      <c r="B77" s="66"/>
      <c r="C77" s="66"/>
      <c r="D77" s="67"/>
    </row>
    <row r="78" spans="1:8" x14ac:dyDescent="0.2">
      <c r="A78" s="68"/>
      <c r="B78" s="66"/>
      <c r="C78" s="66"/>
      <c r="D78" s="67"/>
    </row>
    <row r="79" spans="1:8" x14ac:dyDescent="0.2">
      <c r="A79" s="69"/>
      <c r="B79" s="70"/>
      <c r="C79" s="69"/>
      <c r="D79" s="69"/>
    </row>
    <row r="80" spans="1:8" ht="11.25" customHeight="1" x14ac:dyDescent="0.2">
      <c r="A80" s="114" t="s">
        <v>289</v>
      </c>
      <c r="B80" s="114"/>
      <c r="C80" s="114"/>
      <c r="D80" s="114"/>
      <c r="E80" s="114"/>
      <c r="F80" s="114"/>
      <c r="G80" s="114"/>
      <c r="H80" s="114"/>
    </row>
    <row r="81" spans="1:8" x14ac:dyDescent="0.2">
      <c r="A81" s="98"/>
      <c r="B81" s="98"/>
      <c r="C81" s="98"/>
      <c r="D81" s="98"/>
      <c r="E81" s="98"/>
    </row>
    <row r="82" spans="1:8" x14ac:dyDescent="0.2">
      <c r="A82" s="98"/>
      <c r="B82" s="98"/>
      <c r="C82" s="98"/>
      <c r="D82" s="98"/>
      <c r="E82" s="98"/>
    </row>
    <row r="83" spans="1:8" x14ac:dyDescent="0.2">
      <c r="A83" s="99"/>
      <c r="B83" s="100"/>
      <c r="C83" s="100"/>
      <c r="D83" s="100"/>
      <c r="E83" s="101"/>
    </row>
    <row r="84" spans="1:8" ht="11.25" customHeight="1" x14ac:dyDescent="0.2">
      <c r="A84" s="114" t="s">
        <v>290</v>
      </c>
      <c r="B84" s="114"/>
      <c r="C84" s="114"/>
      <c r="D84" s="114"/>
      <c r="E84" s="114"/>
      <c r="F84" s="114"/>
      <c r="G84" s="114"/>
      <c r="H84" s="114"/>
    </row>
    <row r="85" spans="1:8" x14ac:dyDescent="0.2">
      <c r="A85" s="115" t="s">
        <v>291</v>
      </c>
      <c r="B85" s="115"/>
      <c r="C85" s="115"/>
      <c r="D85" s="115"/>
      <c r="E85" s="115"/>
      <c r="F85" s="115"/>
      <c r="G85" s="115"/>
      <c r="H85" s="115"/>
    </row>
  </sheetData>
  <protectedRanges>
    <protectedRange sqref="C3:E3 G3:H3" name="Rango1_2_1"/>
    <protectedRange sqref="F3" name="Rango1_2_1_2"/>
  </protectedRanges>
  <mergeCells count="4">
    <mergeCell ref="A1:H1"/>
    <mergeCell ref="A80:H80"/>
    <mergeCell ref="A84:H84"/>
    <mergeCell ref="A85:H85"/>
  </mergeCells>
  <pageMargins left="0.70866141732283472" right="0.11811023622047245" top="0.15748031496062992" bottom="0.15748031496062992" header="0.31496062992125984" footer="0.31496062992125984"/>
  <pageSetup scale="80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159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162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3.75" x14ac:dyDescent="0.2">
      <c r="A18" s="53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G6" sqref="G6"/>
    </sheetView>
  </sheetViews>
  <sheetFormatPr baseColWidth="10" defaultRowHeight="11.25" x14ac:dyDescent="0.2"/>
  <cols>
    <col min="1" max="1" width="9.1640625" style="31" customWidth="1"/>
    <col min="2" max="2" width="72.832031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108" t="s">
        <v>363</v>
      </c>
      <c r="B1" s="109"/>
      <c r="C1" s="109"/>
      <c r="D1" s="109"/>
      <c r="E1" s="109"/>
      <c r="F1" s="109"/>
      <c r="G1" s="109"/>
      <c r="H1" s="110"/>
    </row>
    <row r="2" spans="1:8" ht="24.95" customHeight="1" x14ac:dyDescent="0.2">
      <c r="A2" s="40" t="s">
        <v>16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SUM(C4:C8)</f>
        <v>85282391</v>
      </c>
      <c r="D3" s="10">
        <f t="shared" si="0"/>
        <v>6368660.0000000009</v>
      </c>
      <c r="E3" s="10">
        <f t="shared" si="0"/>
        <v>91651051</v>
      </c>
      <c r="F3" s="10">
        <f t="shared" si="0"/>
        <v>27279128.200000003</v>
      </c>
      <c r="G3" s="10">
        <f t="shared" si="0"/>
        <v>20473417.700000003</v>
      </c>
      <c r="H3" s="11">
        <f t="shared" si="0"/>
        <v>0</v>
      </c>
    </row>
    <row r="4" spans="1:8" x14ac:dyDescent="0.2">
      <c r="A4" s="42">
        <v>1</v>
      </c>
      <c r="B4" s="43" t="s">
        <v>14</v>
      </c>
      <c r="C4" s="58">
        <f>+Hoja1!C4+Hoja1!C12+Hoja1!C22+Hoja1!C32</f>
        <v>44037391</v>
      </c>
      <c r="D4" s="58">
        <f>+Hoja1!D4+Hoja1!D12+Hoja1!D22+Hoja1!D32</f>
        <v>-835379.99999999942</v>
      </c>
      <c r="E4" s="58">
        <f>+Hoja1!E4+Hoja1!E12+Hoja1!E22+Hoja1!E32</f>
        <v>43202011</v>
      </c>
      <c r="F4" s="58">
        <f>+Hoja1!F4+Hoja1!F12+Hoja1!F22+Hoja1!F32</f>
        <v>26316209.130000003</v>
      </c>
      <c r="G4" s="58">
        <f>+F4-6197998.06-242100.02-214673.35</f>
        <v>19661437.700000003</v>
      </c>
      <c r="H4" s="45"/>
    </row>
    <row r="5" spans="1:8" x14ac:dyDescent="0.2">
      <c r="A5" s="42">
        <v>2</v>
      </c>
      <c r="B5" s="43" t="s">
        <v>15</v>
      </c>
      <c r="C5" s="58">
        <f>+Hoja1!C42+Hoja1!C52</f>
        <v>41245000</v>
      </c>
      <c r="D5" s="58">
        <f>+Hoja1!D42+Hoja1!D52</f>
        <v>473280</v>
      </c>
      <c r="E5" s="58">
        <f>+Hoja1!E42+Hoja1!E52</f>
        <v>41718280</v>
      </c>
      <c r="F5" s="58">
        <f>+Hoja1!F42+Hoja1!F52</f>
        <v>962919.07000000007</v>
      </c>
      <c r="G5" s="58">
        <f>+F5-16000-134939.07</f>
        <v>811980</v>
      </c>
      <c r="H5" s="45"/>
    </row>
    <row r="6" spans="1:8" x14ac:dyDescent="0.2">
      <c r="A6" s="42">
        <v>3</v>
      </c>
      <c r="B6" s="43" t="s">
        <v>17</v>
      </c>
      <c r="C6" s="44">
        <v>0</v>
      </c>
      <c r="D6" s="58">
        <f>+Hoja1!D75</f>
        <v>6730760</v>
      </c>
      <c r="E6" s="58">
        <f>+Hoja1!E68</f>
        <v>6730760</v>
      </c>
      <c r="F6" s="44">
        <v>0</v>
      </c>
      <c r="G6" s="44">
        <v>0</v>
      </c>
      <c r="H6" s="45"/>
    </row>
    <row r="7" spans="1:8" x14ac:dyDescent="0.2">
      <c r="A7" s="42">
        <v>4</v>
      </c>
      <c r="B7" s="43" t="s">
        <v>144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5"/>
    </row>
    <row r="8" spans="1:8" x14ac:dyDescent="0.2">
      <c r="A8" s="46">
        <v>5</v>
      </c>
      <c r="B8" s="47" t="s">
        <v>119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9"/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ignoredErrors>
    <ignoredError sqref="C3:H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ht="22.5" x14ac:dyDescent="0.2">
      <c r="A2" s="52" t="s">
        <v>148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F10" sqref="F10"/>
    </sheetView>
  </sheetViews>
  <sheetFormatPr baseColWidth="10" defaultRowHeight="11.25" x14ac:dyDescent="0.2"/>
  <cols>
    <col min="1" max="1" width="11.1640625" style="1" customWidth="1"/>
    <col min="2" max="2" width="25.5" style="1" bestFit="1" customWidth="1"/>
    <col min="3" max="8" width="18.33203125" style="1" customWidth="1"/>
    <col min="9" max="9" width="13.33203125" style="1" bestFit="1" customWidth="1"/>
    <col min="10" max="16384" width="12" style="1"/>
  </cols>
  <sheetData>
    <row r="1" spans="1:9" ht="50.1" customHeight="1" x14ac:dyDescent="0.2">
      <c r="A1" s="108" t="s">
        <v>362</v>
      </c>
      <c r="B1" s="109"/>
      <c r="C1" s="109"/>
      <c r="D1" s="109"/>
      <c r="E1" s="109"/>
      <c r="F1" s="109"/>
      <c r="G1" s="109"/>
      <c r="H1" s="110"/>
    </row>
    <row r="2" spans="1:9" ht="24.95" customHeight="1" x14ac:dyDescent="0.2">
      <c r="A2" s="50" t="s">
        <v>2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9" x14ac:dyDescent="0.2">
      <c r="A3" s="4">
        <v>900001</v>
      </c>
      <c r="B3" s="3" t="s">
        <v>12</v>
      </c>
      <c r="C3" s="6">
        <f>SUM(C4:C11)</f>
        <v>85282391</v>
      </c>
      <c r="D3" s="6">
        <f t="shared" ref="D3:E3" si="0">SUM(D4:D11)</f>
        <v>6368660</v>
      </c>
      <c r="E3" s="6">
        <f t="shared" si="0"/>
        <v>91651051</v>
      </c>
      <c r="F3" s="6">
        <f>SUM(F4:F11)</f>
        <v>27279128.199999999</v>
      </c>
      <c r="G3" s="6">
        <f>SUM(G4:G11)</f>
        <v>20473417.699999996</v>
      </c>
      <c r="H3" s="6">
        <f>H4+H9</f>
        <v>0</v>
      </c>
      <c r="I3" s="90"/>
    </row>
    <row r="4" spans="1:9" x14ac:dyDescent="0.2">
      <c r="A4" s="1" t="s">
        <v>183</v>
      </c>
      <c r="B4" s="1" t="s">
        <v>278</v>
      </c>
      <c r="C4" s="90">
        <f>+EAEPE!H7</f>
        <v>24021183</v>
      </c>
      <c r="D4" s="90">
        <f>+EAEPE!I7</f>
        <v>150000</v>
      </c>
      <c r="E4" s="90">
        <f>+EAEPE!J7</f>
        <v>24171183</v>
      </c>
      <c r="F4" s="90">
        <f>+'EAEPE (2)'!M6</f>
        <v>18135696.079999998</v>
      </c>
      <c r="G4" s="90">
        <f>+'EAEPE (2)'!N6</f>
        <v>12991340.929999998</v>
      </c>
    </row>
    <row r="5" spans="1:9" x14ac:dyDescent="0.2">
      <c r="A5" s="1" t="s">
        <v>183</v>
      </c>
      <c r="B5" s="1" t="s">
        <v>280</v>
      </c>
      <c r="C5" s="90">
        <f>+EAEPE!H31</f>
        <v>52445081</v>
      </c>
      <c r="D5" s="90">
        <f>+EAEPE!I31</f>
        <v>6616990.1699999999</v>
      </c>
      <c r="E5" s="90">
        <f>+EAEPE!J31</f>
        <v>59062071.170000002</v>
      </c>
      <c r="F5" s="90">
        <f>+'EAEPE (2)'!M39</f>
        <v>3512600.53</v>
      </c>
      <c r="G5" s="90">
        <f>+'EAEPE (2)'!N39</f>
        <v>3274036.36</v>
      </c>
    </row>
    <row r="6" spans="1:9" x14ac:dyDescent="0.2">
      <c r="A6" s="1" t="s">
        <v>246</v>
      </c>
      <c r="B6" s="1" t="s">
        <v>279</v>
      </c>
      <c r="C6" s="90">
        <f>+EAEPE!H81</f>
        <v>763206</v>
      </c>
      <c r="D6" s="90">
        <f>+EAEPE!I81</f>
        <v>-182248.53</v>
      </c>
      <c r="E6" s="90">
        <f>+EAEPE!J81</f>
        <v>580957.47</v>
      </c>
      <c r="F6" s="90">
        <f>+'EAEPE (2)'!M91</f>
        <v>402159.92</v>
      </c>
      <c r="G6" s="90">
        <f>+'EAEPE (2)'!N91</f>
        <v>382589.29</v>
      </c>
    </row>
    <row r="7" spans="1:9" x14ac:dyDescent="0.2">
      <c r="A7" s="1" t="s">
        <v>246</v>
      </c>
      <c r="B7" s="1" t="s">
        <v>281</v>
      </c>
      <c r="C7" s="90">
        <f>+EAEPE!H107</f>
        <v>1691800</v>
      </c>
      <c r="D7" s="90">
        <f>+'EAEPE (2)'!I186</f>
        <v>161000</v>
      </c>
      <c r="E7" s="90">
        <f>+'EAEPE (2)'!J186</f>
        <v>1852800</v>
      </c>
      <c r="F7" s="90">
        <f>+'EAEPE (2)'!M186</f>
        <v>1886993.38</v>
      </c>
      <c r="G7" s="90">
        <f>+'EAEPE (2)'!N186</f>
        <v>1135027.42</v>
      </c>
    </row>
    <row r="8" spans="1:9" x14ac:dyDescent="0.2">
      <c r="A8" s="1" t="s">
        <v>246</v>
      </c>
      <c r="B8" s="1" t="s">
        <v>282</v>
      </c>
      <c r="C8" s="90">
        <f>+EAEPE!H121</f>
        <v>3400000</v>
      </c>
      <c r="D8" s="90">
        <f>+'EAEPE (2)'!I200</f>
        <v>-1203395</v>
      </c>
      <c r="E8" s="90">
        <f>+'EAEPE (2)'!J200</f>
        <v>2196605</v>
      </c>
      <c r="F8" s="90">
        <f>+'EAEPE (2)'!M200</f>
        <v>121600</v>
      </c>
      <c r="G8" s="90">
        <f>+'EAEPE (2)'!N200</f>
        <v>87501.13</v>
      </c>
    </row>
    <row r="9" spans="1:9" x14ac:dyDescent="0.2">
      <c r="A9" s="1" t="s">
        <v>246</v>
      </c>
      <c r="B9" s="1" t="s">
        <v>283</v>
      </c>
      <c r="C9" s="90">
        <f>+EAEPE!H124</f>
        <v>340000</v>
      </c>
      <c r="D9" s="90">
        <f>+EAEPE!I124</f>
        <v>0</v>
      </c>
      <c r="E9" s="90">
        <f>+EAEPE!J124</f>
        <v>340000</v>
      </c>
      <c r="F9" s="90">
        <v>0</v>
      </c>
      <c r="G9" s="90">
        <f t="shared" ref="G5:G11" si="1">+F9</f>
        <v>0</v>
      </c>
    </row>
    <row r="10" spans="1:9" x14ac:dyDescent="0.2">
      <c r="A10" s="1" t="s">
        <v>259</v>
      </c>
      <c r="B10" s="1" t="s">
        <v>284</v>
      </c>
      <c r="C10" s="90">
        <f>+EAEPE!H130</f>
        <v>2459182</v>
      </c>
      <c r="D10" s="90">
        <f>+EAEPE!I130</f>
        <v>783188.25</v>
      </c>
      <c r="E10" s="90">
        <f>+EAEPE!J130</f>
        <v>3242370.2499999995</v>
      </c>
      <c r="F10" s="90">
        <f>+'EAEPE (2)'!L118</f>
        <v>3178787.45</v>
      </c>
      <c r="G10" s="90">
        <f>+'EAEPE (2)'!N118</f>
        <v>2561631.73</v>
      </c>
    </row>
    <row r="11" spans="1:9" x14ac:dyDescent="0.2">
      <c r="A11" s="1" t="s">
        <v>259</v>
      </c>
      <c r="B11" s="1" t="s">
        <v>285</v>
      </c>
      <c r="C11" s="90">
        <f>+EAEPE!H165</f>
        <v>161939</v>
      </c>
      <c r="D11" s="90">
        <f>+'EAEPE (2)'!I161</f>
        <v>43125.11</v>
      </c>
      <c r="E11" s="90">
        <f>+'EAEPE (2)'!J161</f>
        <v>205064.11</v>
      </c>
      <c r="F11" s="90">
        <f>+EAEPE!L165</f>
        <v>41290.840000000004</v>
      </c>
      <c r="G11" s="90">
        <f t="shared" si="1"/>
        <v>41290.840000000004</v>
      </c>
    </row>
    <row r="14" spans="1:9" x14ac:dyDescent="0.2">
      <c r="E14" s="90"/>
      <c r="F14" s="90"/>
    </row>
    <row r="15" spans="1:9" x14ac:dyDescent="0.2">
      <c r="E15" s="90"/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ignoredErrors>
    <ignoredError sqref="H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EAEPE</vt:lpstr>
      <vt:lpstr>EAEPE (2)</vt:lpstr>
      <vt:lpstr>Instructivo_EAEPE</vt:lpstr>
      <vt:lpstr>COG</vt:lpstr>
      <vt:lpstr>Hoja1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  <vt:lpstr>EAEPE!Títulos_a_imprimir</vt:lpstr>
      <vt:lpstr>Hoja1!Títulos_a_imprimir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2017-10-11T15:03:21Z</cp:lastPrinted>
  <dcterms:created xsi:type="dcterms:W3CDTF">2014-02-10T03:37:14Z</dcterms:created>
  <dcterms:modified xsi:type="dcterms:W3CDTF">2018-01-28T23:40:28Z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