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DIF\"/>
    </mc:Choice>
  </mc:AlternateContent>
  <bookViews>
    <workbookView xWindow="0" yWindow="0" windowWidth="24000" windowHeight="91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F6a!$B$3:$G$77</definedName>
    <definedName name="_xlnm._FilterDatabase" localSheetId="2" hidden="1">F6b!$A$3:$G$12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  <definedName name="_xlnm.Print_Titles" localSheetId="3">F6c!$1:$3</definedName>
  </definedNames>
  <calcPr calcId="171027"/>
</workbook>
</file>

<file path=xl/calcChain.xml><?xml version="1.0" encoding="utf-8"?>
<calcChain xmlns="http://schemas.openxmlformats.org/spreadsheetml/2006/main">
  <c r="C21" i="3" l="1"/>
  <c r="G22" i="3"/>
  <c r="G21" i="3"/>
  <c r="F22" i="3"/>
  <c r="F21" i="3"/>
  <c r="E22" i="3"/>
  <c r="E21" i="3"/>
  <c r="D22" i="3"/>
  <c r="D21" i="3"/>
  <c r="C22" i="3"/>
  <c r="B22" i="3"/>
  <c r="B21" i="3"/>
  <c r="G8" i="1"/>
  <c r="G5" i="4"/>
  <c r="G5" i="2"/>
  <c r="D13" i="2"/>
  <c r="B13" i="2"/>
  <c r="G9" i="2"/>
  <c r="F9" i="2"/>
  <c r="E9" i="2"/>
  <c r="D9" i="2"/>
  <c r="C9" i="2"/>
  <c r="G13" i="2"/>
  <c r="F13" i="2"/>
  <c r="E13" i="2"/>
  <c r="E14" i="2"/>
  <c r="G12" i="2"/>
  <c r="D12" i="2"/>
  <c r="C12" i="2"/>
  <c r="B9" i="2"/>
  <c r="G8" i="2"/>
  <c r="F8" i="2"/>
  <c r="E8" i="2"/>
  <c r="D8" i="2"/>
  <c r="C8" i="2"/>
  <c r="B8" i="2"/>
  <c r="F24" i="2"/>
  <c r="E24" i="2"/>
  <c r="D24" i="2"/>
  <c r="C24" i="2"/>
  <c r="B24" i="2"/>
  <c r="E5" i="2" l="1"/>
  <c r="B5" i="2"/>
  <c r="D5" i="2"/>
  <c r="F5" i="2"/>
  <c r="C5" i="2"/>
  <c r="G80" i="1"/>
  <c r="G79" i="1"/>
  <c r="C22" i="1"/>
  <c r="C44" i="1"/>
  <c r="C88" i="1"/>
  <c r="C118" i="1"/>
  <c r="C53" i="1"/>
  <c r="D154" i="1"/>
  <c r="D44" i="1"/>
  <c r="D118" i="1"/>
  <c r="F37" i="1"/>
  <c r="E37" i="1"/>
  <c r="D37" i="1"/>
  <c r="B37" i="1"/>
  <c r="D30" i="1"/>
  <c r="B30" i="1"/>
  <c r="D22" i="1"/>
  <c r="D15" i="1"/>
  <c r="C15" i="1"/>
  <c r="F8" i="1"/>
  <c r="E8" i="1"/>
  <c r="D8" i="1"/>
  <c r="C8" i="1"/>
  <c r="B8" i="1"/>
  <c r="B80" i="1"/>
  <c r="D49" i="1"/>
  <c r="C49" i="1"/>
  <c r="D98" i="1"/>
  <c r="D88" i="1"/>
  <c r="D112" i="1"/>
  <c r="D108" i="1" s="1"/>
  <c r="F83" i="1"/>
  <c r="E83" i="1"/>
  <c r="D83" i="1"/>
  <c r="D80" i="1" s="1"/>
  <c r="C83" i="1"/>
  <c r="B83" i="1"/>
  <c r="B13" i="1" l="1"/>
  <c r="C13" i="1"/>
  <c r="D13" i="1"/>
  <c r="E13" i="1"/>
  <c r="F13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E7" i="4"/>
  <c r="D7" i="4"/>
  <c r="C7" i="4"/>
  <c r="B7" i="4"/>
  <c r="B4" i="4" s="1"/>
  <c r="B27" i="4" s="1"/>
  <c r="G6" i="4"/>
  <c r="D4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B43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0" i="3"/>
  <c r="G19" i="3"/>
  <c r="G17" i="3"/>
  <c r="F16" i="3"/>
  <c r="E16" i="3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B6" i="3"/>
  <c r="G32" i="2"/>
  <c r="G31" i="2"/>
  <c r="G30" i="2"/>
  <c r="G29" i="2"/>
  <c r="G28" i="2"/>
  <c r="G27" i="2"/>
  <c r="G26" i="2"/>
  <c r="G25" i="2"/>
  <c r="F43" i="2"/>
  <c r="E43" i="2"/>
  <c r="D43" i="2"/>
  <c r="C43" i="2"/>
  <c r="B43" i="2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B88" i="1"/>
  <c r="G87" i="1"/>
  <c r="G86" i="1"/>
  <c r="G85" i="1"/>
  <c r="G84" i="1"/>
  <c r="G83" i="1"/>
  <c r="G82" i="1"/>
  <c r="G81" i="1"/>
  <c r="F80" i="1"/>
  <c r="E80" i="1"/>
  <c r="C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F53" i="1"/>
  <c r="E53" i="1"/>
  <c r="D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C23" i="1"/>
  <c r="B23" i="1"/>
  <c r="G13" i="1"/>
  <c r="F5" i="1"/>
  <c r="E5" i="1"/>
  <c r="D5" i="1"/>
  <c r="C5" i="1"/>
  <c r="B5" i="1"/>
  <c r="C42" i="3" l="1"/>
  <c r="G24" i="2"/>
  <c r="B4" i="1"/>
  <c r="G57" i="1"/>
  <c r="C4" i="1"/>
  <c r="G66" i="1"/>
  <c r="G128" i="1"/>
  <c r="G132" i="1"/>
  <c r="G33" i="1"/>
  <c r="G108" i="1"/>
  <c r="D79" i="1"/>
  <c r="G53" i="1"/>
  <c r="C16" i="4"/>
  <c r="F27" i="4"/>
  <c r="E4" i="4"/>
  <c r="E27" i="4" s="1"/>
  <c r="G70" i="1"/>
  <c r="E5" i="3"/>
  <c r="B42" i="3"/>
  <c r="F42" i="3"/>
  <c r="G53" i="3"/>
  <c r="C4" i="4"/>
  <c r="C5" i="3"/>
  <c r="G23" i="1"/>
  <c r="F79" i="1"/>
  <c r="E79" i="1"/>
  <c r="B79" i="1"/>
  <c r="G16" i="4"/>
  <c r="C79" i="1"/>
  <c r="D16" i="4"/>
  <c r="D27" i="4" s="1"/>
  <c r="G88" i="1"/>
  <c r="G118" i="1"/>
  <c r="G145" i="1"/>
  <c r="G43" i="2"/>
  <c r="G6" i="3"/>
  <c r="G16" i="3"/>
  <c r="E42" i="3"/>
  <c r="D5" i="3"/>
  <c r="B5" i="3"/>
  <c r="B79" i="3" s="1"/>
  <c r="F5" i="3"/>
  <c r="E4" i="1"/>
  <c r="E154" i="1" s="1"/>
  <c r="G43" i="1"/>
  <c r="F4" i="1"/>
  <c r="D4" i="1"/>
  <c r="G5" i="1"/>
  <c r="C27" i="4"/>
  <c r="D42" i="3"/>
  <c r="G42" i="3" s="1"/>
  <c r="G11" i="4"/>
  <c r="G4" i="4" s="1"/>
  <c r="G27" i="4" s="1"/>
  <c r="E79" i="3" l="1"/>
  <c r="C79" i="3"/>
  <c r="G5" i="3"/>
  <c r="G79" i="3" s="1"/>
  <c r="C154" i="1"/>
  <c r="F154" i="1"/>
  <c r="F79" i="3"/>
  <c r="G4" i="1"/>
  <c r="G154" i="1" s="1"/>
  <c r="B154" i="1"/>
  <c r="D79" i="3"/>
</calcChain>
</file>

<file path=xl/sharedStrings.xml><?xml version="1.0" encoding="utf-8"?>
<sst xmlns="http://schemas.openxmlformats.org/spreadsheetml/2006/main" count="320" uniqueCount="163">
  <si>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</si>
  <si>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</si>
  <si>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</si>
  <si>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</si>
  <si>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</si>
  <si>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</si>
  <si>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</si>
  <si>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</si>
  <si>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</si>
  <si>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</si>
  <si>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</si>
  <si>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</si>
  <si>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</si>
  <si>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</si>
  <si>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</si>
  <si>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</si>
  <si>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</si>
  <si>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</si>
  <si>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</si>
  <si>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</si>
  <si>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</si>
  <si>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</si>
  <si>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</si>
  <si>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</si>
  <si>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</si>
  <si>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</si>
  <si>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</si>
  <si>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</si>
  <si>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</si>
  <si>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</si>
  <si>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</si>
  <si>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</si>
  <si>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</si>
  <si>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</si>
  <si>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</si>
  <si>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</si>
  <si>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</si>
  <si>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</si>
  <si>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</si>
  <si>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</si>
  <si>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</si>
  <si>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</si>
  <si>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</si>
  <si>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</si>
  <si>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</si>
  <si>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</si>
  <si>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</si>
  <si>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</si>
  <si>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</si>
  <si>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</si>
  <si>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</si>
  <si>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</si>
  <si>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</si>
  <si>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</si>
  <si>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</si>
  <si>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</si>
  <si>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</si>
  <si>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</si>
  <si>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</si>
  <si>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</si>
  <si>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</si>
  <si>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</si>
  <si>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</si>
  <si>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</si>
  <si>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</si>
  <si>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</si>
  <si>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</si>
  <si>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</si>
  <si>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</si>
  <si>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</si>
  <si>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</si>
  <si>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</si>
  <si>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</si>
  <si>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</si>
  <si>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</si>
  <si>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</si>
  <si>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</si>
  <si>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</si>
  <si>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</si>
  <si>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</si>
  <si>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</si>
  <si>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</si>
  <si>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</si>
  <si>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</si>
  <si>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</si>
  <si>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</si>
  <si>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</si>
  <si>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</si>
  <si>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</si>
  <si>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</si>
  <si>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</si>
  <si>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</si>
  <si>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</si>
  <si>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</si>
  <si>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</si>
  <si>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</si>
  <si>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</si>
  <si>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</si>
  <si>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</si>
  <si>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</si>
  <si>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</si>
  <si>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</si>
  <si>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</si>
  <si>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</si>
  <si>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</si>
  <si>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</si>
  <si>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</si>
  <si>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</si>
  <si>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</si>
  <si>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</si>
  <si>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</si>
  <si>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</si>
  <si>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</si>
  <si>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</si>
  <si>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</si>
  <si>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</si>
  <si>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</si>
  <si>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</si>
  <si>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</si>
  <si>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</si>
  <si>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</si>
  <si>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</si>
  <si>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</si>
  <si>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</si>
  <si>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</si>
  <si>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</si>
  <si>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</si>
  <si>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</si>
  <si>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</si>
  <si>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</si>
  <si>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</si>
  <si>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</si>
  <si>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</si>
  <si>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</si>
  <si>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</si>
  <si>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</si>
  <si>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</si>
  <si>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</si>
  <si>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</si>
  <si>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</si>
  <si>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</si>
  <si>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A. COORD SERV MED Y DIS</t>
  </si>
  <si>
    <t>B. COORD VIVIENDA</t>
  </si>
  <si>
    <t>C. COORD DE DES COMUNIT</t>
  </si>
  <si>
    <t>E. COOR EDUC DES INFANT</t>
  </si>
  <si>
    <t>F. COOR ACCION FAVOR IN</t>
  </si>
  <si>
    <t>G. COORD DE TRABAJO SOCIAL</t>
  </si>
  <si>
    <t>H. COORD  DE PROCURADURIA</t>
  </si>
  <si>
    <t>I. COORD DE CEMAIV</t>
  </si>
  <si>
    <t>J. COORD  ADULTOS MAYORES</t>
  </si>
  <si>
    <t>K. DIRECCION GENERAL</t>
  </si>
  <si>
    <t>L. COORD COM SOCIAL</t>
  </si>
  <si>
    <t>M DIRECCION ADMINISTRATIVA</t>
  </si>
  <si>
    <t>N. DONATIVOS</t>
  </si>
  <si>
    <t>O. VOLUNTARIADO</t>
  </si>
  <si>
    <t>P.DIRECCION OPERATIVA</t>
  </si>
  <si>
    <t>Q. DIRECCION JURIDICA</t>
  </si>
  <si>
    <t>SISTEMA PARA EL DESARROLLO INTEGRAL DE LA FAMILIA DE CELAYA GTO.
Estado Analítico del Ejercicio del Presupuesto de Egresos Detallado - LDF
Clasificación por Objeto del Gasto (Capítulo y Concepto)
Del 1 de enero al 31 de marzo de 2017
(PESOS)</t>
  </si>
  <si>
    <t>SISTEMA PARA EL DESARROLLO INTEGRAL DE LA FAMILIA DE CELAYA, GTO.
Estado Analítico del Ejercicio del Presupuesto de Egresos Detallado - LDF
Clasificación Administrativa
Del 1 de enero al 31 de marzo de 2017
(PESOS)</t>
  </si>
  <si>
    <t>SISTEMA PARA EL DESARROLLO INTEGRAL DE LA FAMILIA DE CELAYA, GTO.
Estado Analítico del Ejercicio del Presupuesto de Egresos Detallado - LDF
Clasificación Funcional (Finalidad y Función)
Del 1 de enero al 31 de marzo de 2017
(PESOS)</t>
  </si>
  <si>
    <t>SISTEMA PARA EL DESARROLLO INTEGRAL DE LA FAMILIA DE CELAYA, GTO.
Estado Analítico del Ejercicio del Presupuesto de Egresos Detallado - LDF
Clasificación de Servicios Personales por Categoría
Del 1 de enero al 31 de marzo de 2017
(PESOS)</t>
  </si>
  <si>
    <t>R. SISTEMA DE PROTECCION INTEGRAL DE NIÑOS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</si>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</sst>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3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5"/>
      <color theme="1"/>
      <name val="Arial"/>
      <family val="2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0">
    <xf numFmtId="0" fontId="0" fillId="0" borderId="0"/>
    <xf numFmtId="0" fontId="9" fillId="0" borderId="0"/>
    <xf numFmtId="0" fontId="13" fillId="0" borderId="0" applyNumberFormat="0" applyFill="0" applyBorder="0" applyAlignment="0" applyProtection="0"/>
    <xf numFmtId="0" fontId="9" fillId="0" borderId="0"/>
    <xf numFmtId="0" fontId="29" fillId="0" borderId="0"/>
    <xf numFmtId="0" fontId="12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17" fillId="2" borderId="0" applyNumberFormat="0" applyBorder="0" applyAlignment="0" applyProtection="0"/>
    <xf numFmtId="0" fontId="22" fillId="6" borderId="11" applyNumberFormat="0" applyAlignment="0" applyProtection="0"/>
    <xf numFmtId="0" fontId="24" fillId="7" borderId="14" applyNumberFormat="0" applyAlignment="0" applyProtection="0"/>
    <xf numFmtId="0" fontId="2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0" fillId="5" borderId="11" applyNumberFormat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3" fillId="8" borderId="15" applyNumberFormat="0" applyFont="0" applyAlignment="0" applyProtection="0"/>
    <xf numFmtId="0" fontId="21" fillId="6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27" fillId="0" borderId="16" applyNumberFormat="0" applyFill="0" applyAlignment="0" applyProtection="0"/>
    <xf numFmtId="0" fontId="2" fillId="0" borderId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32" fillId="4" borderId="0" applyNumberFormat="0" applyBorder="0" applyAlignment="0" applyProtection="0"/>
    <xf numFmtId="0" fontId="20" fillId="5" borderId="11" applyNumberFormat="0" applyAlignment="0" applyProtection="0"/>
    <xf numFmtId="0" fontId="21" fillId="6" borderId="12" applyNumberFormat="0" applyAlignment="0" applyProtection="0"/>
    <xf numFmtId="0" fontId="22" fillId="6" borderId="11" applyNumberFormat="0" applyAlignment="0" applyProtection="0"/>
    <xf numFmtId="0" fontId="23" fillId="0" borderId="13" applyNumberFormat="0" applyFill="0" applyAlignment="0" applyProtection="0"/>
    <xf numFmtId="0" fontId="24" fillId="7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15" applyNumberFormat="0" applyFont="0" applyAlignment="0" applyProtection="0"/>
  </cellStyleXfs>
  <cellXfs count="93">
    <xf numFmtId="0" fontId="0" fillId="0" borderId="0" xfId="0"/>
    <xf numFmtId="0" fontId="5" fillId="0" borderId="0" xfId="0" applyFont="1"/>
    <xf numFmtId="0" fontId="8" fillId="0" borderId="7" xfId="0" applyFont="1" applyBorder="1" applyAlignment="1">
      <alignment horizontal="left" vertical="center" indent="1"/>
    </xf>
    <xf numFmtId="4" fontId="8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2"/>
    </xf>
    <xf numFmtId="4" fontId="9" fillId="0" borderId="7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4" fontId="9" fillId="0" borderId="6" xfId="0" applyNumberFormat="1" applyFont="1" applyBorder="1" applyAlignment="1">
      <alignment vertical="center"/>
    </xf>
    <xf numFmtId="0" fontId="9" fillId="0" borderId="0" xfId="0" applyFont="1"/>
    <xf numFmtId="0" fontId="8" fillId="0" borderId="4" xfId="0" applyFont="1" applyBorder="1" applyAlignment="1">
      <alignment horizontal="justify" vertical="center" wrapText="1"/>
    </xf>
    <xf numFmtId="4" fontId="9" fillId="0" borderId="4" xfId="0" applyNumberFormat="1" applyFont="1" applyBorder="1" applyAlignment="1">
      <alignment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justify" vertical="center"/>
    </xf>
    <xf numFmtId="4" fontId="8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0" fontId="9" fillId="0" borderId="0" xfId="1" applyProtection="1">
      <protection locked="0"/>
    </xf>
    <xf numFmtId="0" fontId="9" fillId="0" borderId="0" xfId="1"/>
    <xf numFmtId="0" fontId="11" fillId="0" borderId="0" xfId="1" applyFont="1"/>
    <xf numFmtId="0" fontId="9" fillId="0" borderId="0" xfId="3" applyProtection="1">
      <protection locked="0"/>
    </xf>
    <xf numFmtId="0" fontId="30" fillId="0" borderId="0" xfId="5" applyFont="1" applyFill="1" applyBorder="1" applyAlignment="1" applyProtection="1"/>
    <xf numFmtId="164" fontId="9" fillId="0" borderId="0" xfId="0" applyNumberFormat="1" applyFont="1" applyFill="1" applyBorder="1" applyProtection="1">
      <protection locked="0"/>
    </xf>
    <xf numFmtId="0" fontId="31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4" fontId="9" fillId="0" borderId="17" xfId="0" applyNumberFormat="1" applyFont="1" applyBorder="1" applyAlignment="1">
      <alignment vertical="center"/>
    </xf>
    <xf numFmtId="164" fontId="9" fillId="0" borderId="7" xfId="0" applyNumberFormat="1" applyFont="1" applyFill="1" applyBorder="1" applyProtection="1">
      <protection locked="0"/>
    </xf>
    <xf numFmtId="0" fontId="10" fillId="0" borderId="0" xfId="4" applyFont="1" applyBorder="1" applyAlignment="1" applyProtection="1">
      <alignment horizontal="center" vertical="top"/>
      <protection hidden="1"/>
    </xf>
    <xf numFmtId="0" fontId="9" fillId="0" borderId="0" xfId="0" applyFont="1" applyBorder="1"/>
    <xf numFmtId="0" fontId="4" fillId="33" borderId="4" xfId="0" applyFont="1" applyFill="1" applyBorder="1" applyAlignment="1">
      <alignment horizontal="center" vertical="center"/>
    </xf>
    <xf numFmtId="0" fontId="4" fillId="33" borderId="6" xfId="0" applyFont="1" applyFill="1" applyBorder="1" applyAlignment="1">
      <alignment horizontal="center" vertical="top"/>
    </xf>
    <xf numFmtId="0" fontId="4" fillId="33" borderId="5" xfId="0" applyFont="1" applyFill="1" applyBorder="1" applyAlignment="1">
      <alignment horizontal="center" vertical="center"/>
    </xf>
    <xf numFmtId="0" fontId="4" fillId="33" borderId="5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6" xfId="0" applyFont="1" applyFill="1" applyBorder="1" applyAlignment="1">
      <alignment horizontal="center" vertical="top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/>
    </xf>
    <xf numFmtId="0" fontId="10" fillId="33" borderId="6" xfId="0" applyFont="1" applyFill="1" applyBorder="1" applyAlignment="1">
      <alignment horizontal="center" vertical="top"/>
    </xf>
    <xf numFmtId="0" fontId="10" fillId="33" borderId="5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9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1"/>
    </xf>
    <xf numFmtId="4" fontId="6" fillId="0" borderId="4" xfId="0" applyNumberFormat="1" applyFont="1" applyFill="1" applyBorder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/>
    <xf numFmtId="0" fontId="7" fillId="0" borderId="7" xfId="0" applyFont="1" applyFill="1" applyBorder="1" applyAlignment="1">
      <alignment horizontal="left" vertical="center" indent="1"/>
    </xf>
    <xf numFmtId="4" fontId="6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indent="2"/>
    </xf>
    <xf numFmtId="4" fontId="7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 indent="2"/>
    </xf>
    <xf numFmtId="43" fontId="9" fillId="0" borderId="0" xfId="87" applyFont="1" applyBorder="1" applyAlignment="1">
      <alignment horizontal="right"/>
    </xf>
    <xf numFmtId="43" fontId="9" fillId="0" borderId="7" xfId="87" applyFont="1" applyBorder="1" applyAlignment="1">
      <alignment horizontal="right"/>
    </xf>
    <xf numFmtId="0" fontId="9" fillId="0" borderId="7" xfId="0" applyFont="1" applyBorder="1" applyProtection="1">
      <protection locked="0"/>
    </xf>
    <xf numFmtId="4" fontId="8" fillId="0" borderId="17" xfId="0" applyNumberFormat="1" applyFont="1" applyBorder="1" applyAlignment="1">
      <alignment vertical="center"/>
    </xf>
    <xf numFmtId="43" fontId="9" fillId="0" borderId="7" xfId="87" applyFont="1" applyBorder="1"/>
    <xf numFmtId="4" fontId="9" fillId="0" borderId="7" xfId="86" applyNumberFormat="1" applyFont="1" applyBorder="1"/>
    <xf numFmtId="0" fontId="34" fillId="0" borderId="18" xfId="86" applyFont="1" applyBorder="1"/>
    <xf numFmtId="0" fontId="9" fillId="0" borderId="18" xfId="0" applyFont="1" applyBorder="1" applyProtection="1">
      <protection locked="0"/>
    </xf>
    <xf numFmtId="4" fontId="9" fillId="0" borderId="18" xfId="86" applyNumberFormat="1" applyFont="1" applyBorder="1"/>
    <xf numFmtId="4" fontId="9" fillId="0" borderId="0" xfId="0" applyNumberFormat="1" applyFont="1" applyBorder="1" applyAlignment="1">
      <alignment vertical="center"/>
    </xf>
    <xf numFmtId="43" fontId="9" fillId="0" borderId="18" xfId="87" applyFont="1" applyBorder="1" applyAlignment="1">
      <alignment horizontal="right"/>
    </xf>
    <xf numFmtId="4" fontId="9" fillId="0" borderId="18" xfId="0" applyNumberFormat="1" applyFont="1" applyBorder="1" applyAlignment="1">
      <alignment vertical="center"/>
    </xf>
    <xf numFmtId="4" fontId="9" fillId="0" borderId="0" xfId="86" applyNumberFormat="1" applyFont="1"/>
    <xf numFmtId="4" fontId="9" fillId="0" borderId="0" xfId="86" applyNumberFormat="1" applyFont="1"/>
    <xf numFmtId="0" fontId="4" fillId="33" borderId="1" xfId="0" applyFont="1" applyFill="1" applyBorder="1" applyAlignment="1">
      <alignment horizontal="center" vertical="center" wrapText="1"/>
    </xf>
    <xf numFmtId="0" fontId="4" fillId="33" borderId="2" xfId="0" applyFont="1" applyFill="1" applyBorder="1" applyAlignment="1">
      <alignment horizontal="center" vertical="center"/>
    </xf>
    <xf numFmtId="0" fontId="4" fillId="33" borderId="3" xfId="0" applyFont="1" applyFill="1" applyBorder="1" applyAlignment="1">
      <alignment horizontal="center" vertical="center"/>
    </xf>
    <xf numFmtId="0" fontId="4" fillId="33" borderId="5" xfId="0" applyFont="1" applyFill="1" applyBorder="1" applyAlignment="1">
      <alignment horizontal="center" vertical="center"/>
    </xf>
    <xf numFmtId="0" fontId="10" fillId="33" borderId="1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/>
    </xf>
    <xf numFmtId="0" fontId="10" fillId="33" borderId="3" xfId="0" applyFont="1" applyFill="1" applyBorder="1" applyAlignment="1">
      <alignment horizontal="center" vertical="center"/>
    </xf>
    <xf numFmtId="0" fontId="10" fillId="34" borderId="1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/>
    </xf>
    <xf numFmtId="0" fontId="10" fillId="34" borderId="3" xfId="0" applyFont="1" applyFill="1" applyBorder="1" applyAlignment="1">
      <alignment horizontal="center" vertical="center"/>
    </xf>
    <xf numFmtId="0" fontId="10" fillId="34" borderId="4" xfId="0" applyFont="1" applyFill="1" applyBorder="1" applyAlignment="1">
      <alignment horizontal="center" vertical="center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6" xfId="0" applyFont="1" applyFill="1" applyBorder="1" applyAlignment="1">
      <alignment horizontal="center" vertical="center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6" xfId="0" applyFont="1" applyFill="1" applyBorder="1" applyAlignment="1">
      <alignment horizontal="center" vertical="center" wrapText="1"/>
    </xf>
  </cellXfs>
  <cellStyles count="90">
    <cellStyle name="20% - Énfasis1" xfId="63" builtinId="30" customBuiltin="1"/>
    <cellStyle name="20% - Énfasis1 2" xfId="6"/>
    <cellStyle name="20% - Énfasis2" xfId="67" builtinId="34" customBuiltin="1"/>
    <cellStyle name="20% - Énfasis2 2" xfId="7"/>
    <cellStyle name="20% - Énfasis3" xfId="71" builtinId="38" customBuiltin="1"/>
    <cellStyle name="20% - Énfasis3 2" xfId="8"/>
    <cellStyle name="20% - Énfasis4" xfId="75" builtinId="42" customBuiltin="1"/>
    <cellStyle name="20% - Énfasis4 2" xfId="9"/>
    <cellStyle name="20% - Énfasis5" xfId="79" builtinId="46" customBuiltin="1"/>
    <cellStyle name="20% - Énfasis5 2" xfId="10"/>
    <cellStyle name="20% - Énfasis6" xfId="83" builtinId="50" customBuiltin="1"/>
    <cellStyle name="20% - Énfasis6 2" xfId="11"/>
    <cellStyle name="40% - Énfasis1" xfId="64" builtinId="31" customBuiltin="1"/>
    <cellStyle name="40% - Énfasis1 2" xfId="12"/>
    <cellStyle name="40% - Énfasis2" xfId="68" builtinId="35" customBuiltin="1"/>
    <cellStyle name="40% - Énfasis2 2" xfId="13"/>
    <cellStyle name="40% - Énfasis3" xfId="72" builtinId="39" customBuiltin="1"/>
    <cellStyle name="40% - Énfasis3 2" xfId="14"/>
    <cellStyle name="40% - Énfasis4" xfId="76" builtinId="43" customBuiltin="1"/>
    <cellStyle name="40% - Énfasis4 2" xfId="15"/>
    <cellStyle name="40% - Énfasis5" xfId="80" builtinId="47" customBuiltin="1"/>
    <cellStyle name="40% - Énfasis5 2" xfId="16"/>
    <cellStyle name="40% - Énfasis6" xfId="84" builtinId="51" customBuiltin="1"/>
    <cellStyle name="40% - Énfasis6 2" xfId="17"/>
    <cellStyle name="60% - Énfasis1" xfId="65" builtinId="32" customBuiltin="1"/>
    <cellStyle name="60% - Énfasis1 2" xfId="18"/>
    <cellStyle name="60% - Énfasis2" xfId="69" builtinId="36" customBuiltin="1"/>
    <cellStyle name="60% - Énfasis2 2" xfId="19"/>
    <cellStyle name="60% - Énfasis3" xfId="73" builtinId="40" customBuiltin="1"/>
    <cellStyle name="60% - Énfasis3 2" xfId="20"/>
    <cellStyle name="60% - Énfasis4" xfId="77" builtinId="44" customBuiltin="1"/>
    <cellStyle name="60% - Énfasis4 2" xfId="21"/>
    <cellStyle name="60% - Énfasis5" xfId="81" builtinId="48" customBuiltin="1"/>
    <cellStyle name="60% - Énfasis5 2" xfId="22"/>
    <cellStyle name="60% - Énfasis6" xfId="85" builtinId="52" customBuiltin="1"/>
    <cellStyle name="60% - Énfasis6 2" xfId="23"/>
    <cellStyle name="Buena" xfId="51" builtinId="26" customBuiltin="1"/>
    <cellStyle name="Buena 2" xfId="24"/>
    <cellStyle name="Cálculo" xfId="56" builtinId="22" customBuiltin="1"/>
    <cellStyle name="Cálculo 2" xfId="25"/>
    <cellStyle name="Celda de comprobación" xfId="58" builtinId="23" customBuiltin="1"/>
    <cellStyle name="Celda de comprobación 2" xfId="26"/>
    <cellStyle name="Celda vinculada" xfId="57" builtinId="24" customBuiltin="1"/>
    <cellStyle name="Celda vinculada 2" xfId="27"/>
    <cellStyle name="Encabezado 1" xfId="47" builtinId="16" customBuiltin="1"/>
    <cellStyle name="Encabezado 4" xfId="50" builtinId="19" customBuiltin="1"/>
    <cellStyle name="Encabezado 4 2" xfId="28"/>
    <cellStyle name="Énfasis1" xfId="62" builtinId="29" customBuiltin="1"/>
    <cellStyle name="Énfasis1 2" xfId="29"/>
    <cellStyle name="Énfasis2" xfId="66" builtinId="33" customBuiltin="1"/>
    <cellStyle name="Énfasis2 2" xfId="30"/>
    <cellStyle name="Énfasis3" xfId="70" builtinId="37" customBuiltin="1"/>
    <cellStyle name="Énfasis3 2" xfId="31"/>
    <cellStyle name="Énfasis4" xfId="74" builtinId="41" customBuiltin="1"/>
    <cellStyle name="Énfasis4 2" xfId="32"/>
    <cellStyle name="Énfasis5" xfId="78" builtinId="45" customBuiltin="1"/>
    <cellStyle name="Énfasis5 2" xfId="33"/>
    <cellStyle name="Énfasis6" xfId="82" builtinId="49" customBuiltin="1"/>
    <cellStyle name="Énfasis6 2" xfId="34"/>
    <cellStyle name="Entrada" xfId="54" builtinId="20" customBuiltin="1"/>
    <cellStyle name="Entrada 2" xfId="35"/>
    <cellStyle name="Incorrecto" xfId="52" builtinId="27" customBuiltin="1"/>
    <cellStyle name="Incorrecto 2" xfId="36"/>
    <cellStyle name="Millares 2" xfId="87"/>
    <cellStyle name="Neutral" xfId="53" builtinId="28" customBuiltin="1"/>
    <cellStyle name="Neutral 2" xfId="37"/>
    <cellStyle name="Normal" xfId="0" builtinId="0"/>
    <cellStyle name="Normal 2" xfId="1"/>
    <cellStyle name="Normal 2 2" xfId="4"/>
    <cellStyle name="Normal 3" xfId="3"/>
    <cellStyle name="Normal 3 2" xfId="5"/>
    <cellStyle name="Normal 4" xfId="46"/>
    <cellStyle name="Normal 5" xfId="86"/>
    <cellStyle name="Notas 2" xfId="38"/>
    <cellStyle name="Notas 3" xfId="89"/>
    <cellStyle name="Salida" xfId="55" builtinId="21" customBuiltin="1"/>
    <cellStyle name="Salida 2" xfId="39"/>
    <cellStyle name="Texto de advertencia" xfId="59" builtinId="11" customBuiltin="1"/>
    <cellStyle name="Texto de advertencia 2" xfId="40"/>
    <cellStyle name="Texto explicativo" xfId="60" builtinId="53" customBuiltin="1"/>
    <cellStyle name="Texto explicativo 2" xfId="41"/>
    <cellStyle name="Título" xfId="2" builtinId="15" customBuiltin="1"/>
    <cellStyle name="Título 1 2" xfId="42"/>
    <cellStyle name="Título 2" xfId="48" builtinId="17" customBuiltin="1"/>
    <cellStyle name="Título 2 2" xfId="43"/>
    <cellStyle name="Título 3" xfId="49" builtinId="18" customBuiltin="1"/>
    <cellStyle name="Título 3 2" xfId="44"/>
    <cellStyle name="Título 4" xfId="88"/>
    <cellStyle name="Total" xfId="61" builtinId="25" customBuiltin="1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1162050</xdr:colOff>
      <xdr:row>0</xdr:row>
      <xdr:rowOff>741126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417B45-3CE9-48AC-896D-725FBF187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72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899680</xdr:colOff>
      <xdr:row>0</xdr:row>
      <xdr:rowOff>8659</xdr:rowOff>
    </xdr:from>
    <xdr:to>
      <xdr:col>6</xdr:col>
      <xdr:colOff>955098</xdr:colOff>
      <xdr:row>0</xdr:row>
      <xdr:rowOff>809255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xmlns="" id="{99255C43-5856-4B62-A202-821F9FF9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9998" y="8659"/>
          <a:ext cx="1016577" cy="800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158</xdr:row>
      <xdr:rowOff>47625</xdr:rowOff>
    </xdr:from>
    <xdr:to>
      <xdr:col>0</xdr:col>
      <xdr:colOff>4305300</xdr:colOff>
      <xdr:row>161</xdr:row>
      <xdr:rowOff>152400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719ED3A1-2656-48F8-8C84-BFC7D4C7EB05}"/>
            </a:ext>
          </a:extLst>
        </xdr:cNvPr>
        <xdr:cNvGrpSpPr/>
      </xdr:nvGrpSpPr>
      <xdr:grpSpPr>
        <a:xfrm>
          <a:off x="0" y="26518466"/>
          <a:ext cx="4305300" cy="598343"/>
          <a:chOff x="1" y="40738425"/>
          <a:chExt cx="2487611" cy="485775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C57AE2FF-804E-4CCE-9EDD-4F7DD4C1140E}"/>
              </a:ext>
            </a:extLst>
          </xdr:cNvPr>
          <xdr:cNvSpPr txBox="1"/>
        </xdr:nvSpPr>
        <xdr:spPr>
          <a:xfrm>
            <a:off x="1" y="40738425"/>
            <a:ext cx="2381250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Saraí Nuñez Cerón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xmlns="" id="{2F84455A-A975-4EF3-AC53-31F882F3794A}"/>
              </a:ext>
            </a:extLst>
          </xdr:cNvPr>
          <xdr:cNvCxnSpPr/>
        </xdr:nvCxnSpPr>
        <xdr:spPr>
          <a:xfrm>
            <a:off x="163512" y="40746362"/>
            <a:ext cx="2324100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952500</xdr:colOff>
      <xdr:row>158</xdr:row>
      <xdr:rowOff>9525</xdr:rowOff>
    </xdr:from>
    <xdr:to>
      <xdr:col>6</xdr:col>
      <xdr:colOff>209549</xdr:colOff>
      <xdr:row>161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AB9510A2-655A-4158-AA04-FA74D61B1ED5}"/>
            </a:ext>
          </a:extLst>
        </xdr:cNvPr>
        <xdr:cNvGrpSpPr/>
      </xdr:nvGrpSpPr>
      <xdr:grpSpPr>
        <a:xfrm>
          <a:off x="6849341" y="26480366"/>
          <a:ext cx="3101685" cy="493568"/>
          <a:chOff x="4429124" y="40833675"/>
          <a:chExt cx="3143250" cy="485775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1BDDEFB7-5EF7-49FA-BEBA-56E5970E58C1}"/>
              </a:ext>
            </a:extLst>
          </xdr:cNvPr>
          <xdr:cNvSpPr txBox="1"/>
        </xdr:nvSpPr>
        <xdr:spPr>
          <a:xfrm>
            <a:off x="4429124" y="40833675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Celina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Miranda Jiménez 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Administrativa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xmlns="" id="{E6DD1B33-F78D-4714-A901-A35E83F320EF}"/>
              </a:ext>
            </a:extLst>
          </xdr:cNvPr>
          <xdr:cNvCxnSpPr/>
        </xdr:nvCxnSpPr>
        <xdr:spPr>
          <a:xfrm>
            <a:off x="4457699" y="40852725"/>
            <a:ext cx="3114675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38101</xdr:colOff>
      <xdr:row>0</xdr:row>
      <xdr:rowOff>0</xdr:rowOff>
    </xdr:from>
    <xdr:to>
      <xdr:col>7</xdr:col>
      <xdr:colOff>9526</xdr:colOff>
      <xdr:row>0</xdr:row>
      <xdr:rowOff>695325</xdr:rowOff>
    </xdr:to>
    <xdr:pic>
      <xdr:nvPicPr>
        <xdr:cNvPr id="2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xmlns="" id="{E36CAE22-9D14-4E96-99C8-F16B22F0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1" y="0"/>
          <a:ext cx="933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9525</xdr:rowOff>
    </xdr:from>
    <xdr:to>
      <xdr:col>0</xdr:col>
      <xdr:colOff>1094625</xdr:colOff>
      <xdr:row>0</xdr:row>
      <xdr:rowOff>695325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C01A267-B6F4-4C91-B45D-D3C73426C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10946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104775</xdr:colOff>
      <xdr:row>52</xdr:row>
      <xdr:rowOff>57150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E6BC811F-9469-401D-A46D-A07B049D56A7}"/>
            </a:ext>
          </a:extLst>
        </xdr:cNvPr>
        <xdr:cNvGrpSpPr/>
      </xdr:nvGrpSpPr>
      <xdr:grpSpPr>
        <a:xfrm>
          <a:off x="0" y="7654636"/>
          <a:ext cx="2728480" cy="645969"/>
          <a:chOff x="1" y="40738425"/>
          <a:chExt cx="2487611" cy="485775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84D11799-05E0-424A-B808-1B3514A47B03}"/>
              </a:ext>
            </a:extLst>
          </xdr:cNvPr>
          <xdr:cNvSpPr txBox="1"/>
        </xdr:nvSpPr>
        <xdr:spPr>
          <a:xfrm>
            <a:off x="1" y="40738425"/>
            <a:ext cx="2381250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Saraí Nuñez Cerón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xmlns="" id="{CCC72A47-9C8F-42CD-A195-8A5194795249}"/>
              </a:ext>
            </a:extLst>
          </xdr:cNvPr>
          <xdr:cNvCxnSpPr/>
        </xdr:nvCxnSpPr>
        <xdr:spPr>
          <a:xfrm>
            <a:off x="163512" y="40746362"/>
            <a:ext cx="2324100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942976</xdr:colOff>
      <xdr:row>47</xdr:row>
      <xdr:rowOff>76200</xdr:rowOff>
    </xdr:from>
    <xdr:to>
      <xdr:col>6</xdr:col>
      <xdr:colOff>781051</xdr:colOff>
      <xdr:row>50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A6AF57C5-16E5-4DA4-B1A6-F14115F2357A}"/>
            </a:ext>
          </a:extLst>
        </xdr:cNvPr>
        <xdr:cNvGrpSpPr/>
      </xdr:nvGrpSpPr>
      <xdr:grpSpPr>
        <a:xfrm>
          <a:off x="5488999" y="7583632"/>
          <a:ext cx="2721552" cy="470188"/>
          <a:chOff x="4429124" y="40833675"/>
          <a:chExt cx="3143250" cy="485775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1B0021B8-714F-46B9-A567-FDDE68D65CC5}"/>
              </a:ext>
            </a:extLst>
          </xdr:cNvPr>
          <xdr:cNvSpPr txBox="1"/>
        </xdr:nvSpPr>
        <xdr:spPr>
          <a:xfrm>
            <a:off x="4429124" y="40833675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Celina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Miranda Jiménez 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Administrativa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xmlns="" id="{CDC150E9-5033-421B-BC54-1F72E4755C70}"/>
              </a:ext>
            </a:extLst>
          </xdr:cNvPr>
          <xdr:cNvCxnSpPr/>
        </xdr:nvCxnSpPr>
        <xdr:spPr>
          <a:xfrm>
            <a:off x="4457699" y="40852725"/>
            <a:ext cx="3114675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6</xdr:col>
      <xdr:colOff>981075</xdr:colOff>
      <xdr:row>0</xdr:row>
      <xdr:rowOff>735130</xdr:rowOff>
    </xdr:to>
    <xdr:pic>
      <xdr:nvPicPr>
        <xdr:cNvPr id="2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xmlns="" id="{C33CB1C7-59A6-4D6B-BD1C-76DCBA24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0"/>
          <a:ext cx="933450" cy="7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1204892</xdr:colOff>
      <xdr:row>0</xdr:row>
      <xdr:rowOff>762000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225985E-A8CB-43CD-8D63-7C6B7225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18584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83</xdr:row>
      <xdr:rowOff>85725</xdr:rowOff>
    </xdr:from>
    <xdr:to>
      <xdr:col>6</xdr:col>
      <xdr:colOff>714375</xdr:colOff>
      <xdr:row>86</xdr:row>
      <xdr:rowOff>114300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88DF659E-FA64-41C0-BE11-717455D20E6A}"/>
            </a:ext>
          </a:extLst>
        </xdr:cNvPr>
        <xdr:cNvGrpSpPr/>
      </xdr:nvGrpSpPr>
      <xdr:grpSpPr>
        <a:xfrm>
          <a:off x="6848475" y="12334875"/>
          <a:ext cx="2724150" cy="457200"/>
          <a:chOff x="4429124" y="40793195"/>
          <a:chExt cx="3143250" cy="485775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B50C0E56-8F4D-4CFF-A141-582113F4700D}"/>
              </a:ext>
            </a:extLst>
          </xdr:cNvPr>
          <xdr:cNvSpPr txBox="1"/>
        </xdr:nvSpPr>
        <xdr:spPr>
          <a:xfrm>
            <a:off x="4429124" y="40793195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Celina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Miranda Jiménez 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Administrativa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xmlns="" id="{10683955-3F99-4BC0-8C19-9B24F4A4918D}"/>
              </a:ext>
            </a:extLst>
          </xdr:cNvPr>
          <xdr:cNvCxnSpPr/>
        </xdr:nvCxnSpPr>
        <xdr:spPr>
          <a:xfrm>
            <a:off x="4457699" y="40852725"/>
            <a:ext cx="3114675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257175</xdr:colOff>
      <xdr:row>84</xdr:row>
      <xdr:rowOff>0</xdr:rowOff>
    </xdr:from>
    <xdr:to>
      <xdr:col>0</xdr:col>
      <xdr:colOff>2981325</xdr:colOff>
      <xdr:row>88</xdr:row>
      <xdr:rowOff>57150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DF96D41F-3DBD-4FE1-8A59-9620834F9A1C}"/>
            </a:ext>
          </a:extLst>
        </xdr:cNvPr>
        <xdr:cNvGrpSpPr/>
      </xdr:nvGrpSpPr>
      <xdr:grpSpPr>
        <a:xfrm>
          <a:off x="257175" y="12392025"/>
          <a:ext cx="2724150" cy="628650"/>
          <a:chOff x="1" y="40738425"/>
          <a:chExt cx="2487611" cy="485775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2F8A3740-DA99-4F51-8790-CE6C52D78A25}"/>
              </a:ext>
            </a:extLst>
          </xdr:cNvPr>
          <xdr:cNvSpPr txBox="1"/>
        </xdr:nvSpPr>
        <xdr:spPr>
          <a:xfrm>
            <a:off x="1" y="40738425"/>
            <a:ext cx="2381250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Saraí Nuñez Cerón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xmlns="" id="{D6D2ADAD-6C23-44ED-A8F2-C734ED15BCDB}"/>
              </a:ext>
            </a:extLst>
          </xdr:cNvPr>
          <xdr:cNvCxnSpPr/>
        </xdr:nvCxnSpPr>
        <xdr:spPr>
          <a:xfrm>
            <a:off x="163512" y="40746362"/>
            <a:ext cx="2324100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735130</xdr:rowOff>
    </xdr:to>
    <xdr:pic>
      <xdr:nvPicPr>
        <xdr:cNvPr id="2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xmlns="" id="{591FEE9A-FA2B-4A57-A833-09C019BF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933450" cy="7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0</xdr:row>
      <xdr:rowOff>734011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BEBED46-DAB0-4DF9-8672-BB4711E1B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1575" cy="734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28197</xdr:colOff>
      <xdr:row>25</xdr:row>
      <xdr:rowOff>135505</xdr:rowOff>
    </xdr:from>
    <xdr:to>
      <xdr:col>0</xdr:col>
      <xdr:colOff>3101685</xdr:colOff>
      <xdr:row>25</xdr:row>
      <xdr:rowOff>135505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4F29A9E-3CDD-4F37-9FBB-C7FC5987A5AD}"/>
            </a:ext>
          </a:extLst>
        </xdr:cNvPr>
        <xdr:cNvCxnSpPr/>
      </xdr:nvCxnSpPr>
      <xdr:spPr>
        <a:xfrm>
          <a:off x="28197" y="4964680"/>
          <a:ext cx="3073488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30</xdr:row>
      <xdr:rowOff>123825</xdr:rowOff>
    </xdr:from>
    <xdr:to>
      <xdr:col>6</xdr:col>
      <xdr:colOff>609600</xdr:colOff>
      <xdr:row>34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BDC47F96-DC92-4BA2-895C-DB481E98A328}"/>
            </a:ext>
          </a:extLst>
        </xdr:cNvPr>
        <xdr:cNvGrpSpPr/>
      </xdr:nvGrpSpPr>
      <xdr:grpSpPr>
        <a:xfrm>
          <a:off x="5943600" y="5581650"/>
          <a:ext cx="2724150" cy="457200"/>
          <a:chOff x="4429124" y="40833675"/>
          <a:chExt cx="3143250" cy="485775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412515D-8B0C-438E-9169-A76C7C0D01B4}"/>
              </a:ext>
            </a:extLst>
          </xdr:cNvPr>
          <xdr:cNvSpPr txBox="1"/>
        </xdr:nvSpPr>
        <xdr:spPr>
          <a:xfrm>
            <a:off x="4429124" y="40833675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Celina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Miranda Jiménez 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Administrativa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xmlns="" id="{D5F8202A-51FF-4701-A43B-4BFC876FCEC6}"/>
              </a:ext>
            </a:extLst>
          </xdr:cNvPr>
          <xdr:cNvCxnSpPr/>
        </xdr:nvCxnSpPr>
        <xdr:spPr>
          <a:xfrm>
            <a:off x="4457699" y="40852725"/>
            <a:ext cx="3114675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295275</xdr:colOff>
      <xdr:row>31</xdr:row>
      <xdr:rowOff>38100</xdr:rowOff>
    </xdr:from>
    <xdr:to>
      <xdr:col>0</xdr:col>
      <xdr:colOff>3019425</xdr:colOff>
      <xdr:row>35</xdr:row>
      <xdr:rowOff>95250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9F708FB3-FBEC-4C1C-BD82-A76F47AB0D1F}"/>
            </a:ext>
          </a:extLst>
        </xdr:cNvPr>
        <xdr:cNvGrpSpPr/>
      </xdr:nvGrpSpPr>
      <xdr:grpSpPr>
        <a:xfrm>
          <a:off x="295275" y="5638800"/>
          <a:ext cx="2724150" cy="628650"/>
          <a:chOff x="1" y="40738425"/>
          <a:chExt cx="2487611" cy="485775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8A6BDDB0-6F0D-448E-BD3A-383A77F673F7}"/>
              </a:ext>
            </a:extLst>
          </xdr:cNvPr>
          <xdr:cNvSpPr txBox="1"/>
        </xdr:nvSpPr>
        <xdr:spPr>
          <a:xfrm>
            <a:off x="1" y="40738425"/>
            <a:ext cx="2381250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Saraí Nuñez Cerón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xmlns="" id="{628A54ED-3212-4086-92C4-DBBA8D24495A}"/>
              </a:ext>
            </a:extLst>
          </xdr:cNvPr>
          <xdr:cNvCxnSpPr/>
        </xdr:nvCxnSpPr>
        <xdr:spPr>
          <a:xfrm>
            <a:off x="163512" y="40746362"/>
            <a:ext cx="2324100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5"/>
  </cols>
  <sheetData>
    <row r="1" spans="1:2">
      <c r="A1" s="24"/>
      <c r="B1" s="24"/>
    </row>
    <row r="2020" spans="1:1">
      <c r="A2020" s="26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zoomScale="110" zoomScaleNormal="110" workbookViewId="0">
      <pane ySplit="3" topLeftCell="A4" activePane="bottomLeft" state="frozen"/>
      <selection pane="bottomLeft" activeCell="A4" sqref="A4"/>
    </sheetView>
  </sheetViews>
  <sheetFormatPr baseColWidth="10" defaultRowHeight="12.75"/>
  <cols>
    <col min="1" max="1" width="86.33203125" style="1" customWidth="1"/>
    <col min="2" max="7" width="16.83203125" style="1" customWidth="1"/>
    <col min="8" max="8" width="12" style="1"/>
    <col min="9" max="9" width="15" style="1" bestFit="1" customWidth="1"/>
    <col min="10" max="16384" width="12" style="1"/>
  </cols>
  <sheetData>
    <row r="1" spans="1:10" ht="65.25" customHeight="1">
      <c r="A1" s="74" t="s">
        <v>157</v>
      </c>
      <c r="B1" s="75"/>
      <c r="C1" s="75"/>
      <c r="D1" s="75"/>
      <c r="E1" s="75"/>
      <c r="F1" s="75"/>
      <c r="G1" s="76"/>
    </row>
    <row r="2" spans="1:10">
      <c r="A2" s="36"/>
      <c r="B2" s="77" t="s">
        <v>0</v>
      </c>
      <c r="C2" s="77"/>
      <c r="D2" s="77"/>
      <c r="E2" s="77"/>
      <c r="F2" s="77"/>
      <c r="G2" s="36"/>
    </row>
    <row r="3" spans="1:10" ht="22.5">
      <c r="A3" s="37" t="s">
        <v>1</v>
      </c>
      <c r="B3" s="38" t="s">
        <v>2</v>
      </c>
      <c r="C3" s="39" t="s">
        <v>3</v>
      </c>
      <c r="D3" s="38" t="s">
        <v>4</v>
      </c>
      <c r="E3" s="38" t="s">
        <v>5</v>
      </c>
      <c r="F3" s="38" t="s">
        <v>6</v>
      </c>
      <c r="G3" s="37" t="s">
        <v>7</v>
      </c>
    </row>
    <row r="4" spans="1:10" s="52" customFormat="1">
      <c r="A4" s="49" t="s">
        <v>8</v>
      </c>
      <c r="B4" s="50">
        <f>B5+B13+B23+B33+B43+B53+B57+B66+B70</f>
        <v>46212000.009999998</v>
      </c>
      <c r="C4" s="50">
        <f>C5+C13+C23+C33+C43+C53+C57+C66+C70</f>
        <v>968330.7</v>
      </c>
      <c r="D4" s="50">
        <f t="shared" ref="D4:G4" si="0">D5+D13+D23+D33+D43+D53+D57+D66+D70</f>
        <v>47180330.710000001</v>
      </c>
      <c r="E4" s="50">
        <f t="shared" si="0"/>
        <v>9100178.7899999991</v>
      </c>
      <c r="F4" s="50">
        <f t="shared" si="0"/>
        <v>9092119.8200000003</v>
      </c>
      <c r="G4" s="50">
        <f t="shared" si="0"/>
        <v>38080151.880000003</v>
      </c>
      <c r="H4" s="51"/>
      <c r="I4" s="51"/>
      <c r="J4" s="51"/>
    </row>
    <row r="5" spans="1:10" s="52" customFormat="1">
      <c r="A5" s="53" t="s">
        <v>9</v>
      </c>
      <c r="B5" s="54">
        <f>SUM(B6:B12)</f>
        <v>33892070.869999997</v>
      </c>
      <c r="C5" s="54">
        <f t="shared" ref="C5:G5" si="1">SUM(C6:C12)</f>
        <v>92639.9</v>
      </c>
      <c r="D5" s="54">
        <f t="shared" si="1"/>
        <v>33984710.769999996</v>
      </c>
      <c r="E5" s="54">
        <f t="shared" si="1"/>
        <v>7111325.54</v>
      </c>
      <c r="F5" s="54">
        <f t="shared" si="1"/>
        <v>7111325.54</v>
      </c>
      <c r="G5" s="54">
        <f t="shared" si="1"/>
        <v>26873385.190000001</v>
      </c>
    </row>
    <row r="6" spans="1:10" s="52" customFormat="1">
      <c r="A6" s="55" t="s">
        <v>10</v>
      </c>
      <c r="B6" s="56">
        <v>18360429.100000001</v>
      </c>
      <c r="C6" s="56">
        <v>0</v>
      </c>
      <c r="D6" s="56">
        <v>18360429.100000001</v>
      </c>
      <c r="E6" s="56">
        <v>4440085.46</v>
      </c>
      <c r="F6" s="56">
        <v>4440085.46</v>
      </c>
      <c r="G6" s="56">
        <v>13920343.6</v>
      </c>
    </row>
    <row r="7" spans="1:10" s="52" customFormat="1">
      <c r="A7" s="55" t="s">
        <v>11</v>
      </c>
      <c r="B7" s="56">
        <v>0</v>
      </c>
      <c r="C7" s="56">
        <v>88000</v>
      </c>
      <c r="D7" s="56">
        <v>88000</v>
      </c>
      <c r="E7" s="56">
        <v>48000</v>
      </c>
      <c r="F7" s="56">
        <v>48000</v>
      </c>
      <c r="G7" s="56">
        <v>40000</v>
      </c>
    </row>
    <row r="8" spans="1:10" s="52" customFormat="1">
      <c r="A8" s="55" t="s">
        <v>12</v>
      </c>
      <c r="B8" s="56">
        <f>4156106.32-434919.96</f>
        <v>3721186.36</v>
      </c>
      <c r="C8" s="56">
        <f>26655.94-C83</f>
        <v>4639.8999999999978</v>
      </c>
      <c r="D8" s="56">
        <f>4182762.26-D83</f>
        <v>3725826.26</v>
      </c>
      <c r="E8" s="56">
        <f>196405.86-E83</f>
        <v>174317.86</v>
      </c>
      <c r="F8" s="56">
        <f>196405.86-F83</f>
        <v>174317.86</v>
      </c>
      <c r="G8" s="56">
        <f>3986356.4-G83</f>
        <v>3551508.4</v>
      </c>
    </row>
    <row r="9" spans="1:10" s="52" customFormat="1">
      <c r="A9" s="55" t="s">
        <v>13</v>
      </c>
      <c r="B9" s="56">
        <v>6870348.1299999999</v>
      </c>
      <c r="C9" s="56">
        <v>0</v>
      </c>
      <c r="D9" s="56">
        <v>6870348.1299999999</v>
      </c>
      <c r="E9" s="56">
        <v>1317209.22</v>
      </c>
      <c r="F9" s="56">
        <v>1317209.22</v>
      </c>
      <c r="G9" s="56">
        <v>5553138.9100000001</v>
      </c>
    </row>
    <row r="10" spans="1:10" s="52" customFormat="1">
      <c r="A10" s="55" t="s">
        <v>14</v>
      </c>
      <c r="B10" s="56">
        <v>4940107.28</v>
      </c>
      <c r="C10" s="56">
        <v>0</v>
      </c>
      <c r="D10" s="56">
        <v>4940107.28</v>
      </c>
      <c r="E10" s="56">
        <v>1131713</v>
      </c>
      <c r="F10" s="56">
        <v>1131713</v>
      </c>
      <c r="G10" s="56">
        <v>3808394.28</v>
      </c>
    </row>
    <row r="11" spans="1:10" s="52" customFormat="1">
      <c r="A11" s="55" t="s">
        <v>15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10" s="52" customFormat="1">
      <c r="A12" s="55" t="s">
        <v>16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10" s="52" customFormat="1">
      <c r="A13" s="53" t="s">
        <v>17</v>
      </c>
      <c r="B13" s="54">
        <f>SUM(B14:B22)</f>
        <v>3353139.0300000003</v>
      </c>
      <c r="C13" s="54">
        <f t="shared" ref="C13:F13" si="2">SUM(C14:C22)</f>
        <v>-203211.9</v>
      </c>
      <c r="D13" s="54">
        <f t="shared" si="2"/>
        <v>3149927.13</v>
      </c>
      <c r="E13" s="54">
        <f t="shared" si="2"/>
        <v>532431.5</v>
      </c>
      <c r="F13" s="54">
        <f t="shared" si="2"/>
        <v>516555.04000000004</v>
      </c>
      <c r="G13" s="54">
        <f t="shared" ref="G13:G70" si="3">D13-E13</f>
        <v>2617495.63</v>
      </c>
    </row>
    <row r="14" spans="1:10" s="52" customFormat="1">
      <c r="A14" s="55" t="s">
        <v>18</v>
      </c>
      <c r="B14" s="56">
        <v>992500</v>
      </c>
      <c r="C14" s="56">
        <v>-68986</v>
      </c>
      <c r="D14" s="56">
        <v>923514</v>
      </c>
      <c r="E14" s="56">
        <v>81020.460000000006</v>
      </c>
      <c r="F14" s="56">
        <v>80554.58</v>
      </c>
      <c r="G14" s="56">
        <v>842493.54</v>
      </c>
    </row>
    <row r="15" spans="1:10" s="52" customFormat="1">
      <c r="A15" s="55" t="s">
        <v>19</v>
      </c>
      <c r="B15" s="56">
        <v>607500</v>
      </c>
      <c r="C15" s="56">
        <f>60050.6-C90</f>
        <v>31719.1</v>
      </c>
      <c r="D15" s="56">
        <f>667550.6-D90</f>
        <v>639219.1</v>
      </c>
      <c r="E15" s="56">
        <v>78485.39</v>
      </c>
      <c r="F15" s="56">
        <v>73966.59</v>
      </c>
      <c r="G15" s="56">
        <v>589065.21</v>
      </c>
    </row>
    <row r="16" spans="1:10" s="52" customFormat="1">
      <c r="A16" s="55" t="s">
        <v>20</v>
      </c>
      <c r="B16" s="56">
        <v>190000</v>
      </c>
      <c r="C16" s="56">
        <v>0</v>
      </c>
      <c r="D16" s="56">
        <v>190000</v>
      </c>
      <c r="E16" s="56">
        <v>30600.19</v>
      </c>
      <c r="F16" s="56">
        <v>29110.19</v>
      </c>
      <c r="G16" s="56">
        <v>159399.81</v>
      </c>
    </row>
    <row r="17" spans="1:7" s="52" customFormat="1">
      <c r="A17" s="55" t="s">
        <v>21</v>
      </c>
      <c r="B17" s="56">
        <v>65000</v>
      </c>
      <c r="C17" s="56">
        <v>0</v>
      </c>
      <c r="D17" s="56">
        <v>65000</v>
      </c>
      <c r="E17" s="56">
        <v>326.2</v>
      </c>
      <c r="F17" s="56">
        <v>326.2</v>
      </c>
      <c r="G17" s="56">
        <v>64673.8</v>
      </c>
    </row>
    <row r="18" spans="1:7" s="52" customFormat="1">
      <c r="A18" s="55" t="s">
        <v>22</v>
      </c>
      <c r="B18" s="56">
        <v>73500</v>
      </c>
      <c r="C18" s="56">
        <v>2000</v>
      </c>
      <c r="D18" s="56">
        <v>75500</v>
      </c>
      <c r="E18" s="56">
        <v>6408.11</v>
      </c>
      <c r="F18" s="56">
        <v>5832.23</v>
      </c>
      <c r="G18" s="56">
        <v>69091.89</v>
      </c>
    </row>
    <row r="19" spans="1:7" s="52" customFormat="1">
      <c r="A19" s="55" t="s">
        <v>23</v>
      </c>
      <c r="B19" s="56">
        <v>968500</v>
      </c>
      <c r="C19" s="56">
        <v>0</v>
      </c>
      <c r="D19" s="56">
        <v>968500</v>
      </c>
      <c r="E19" s="56">
        <v>244899.22</v>
      </c>
      <c r="F19" s="56">
        <v>244899.22</v>
      </c>
      <c r="G19" s="56">
        <v>723600.78</v>
      </c>
    </row>
    <row r="20" spans="1:7" s="52" customFormat="1">
      <c r="A20" s="55" t="s">
        <v>24</v>
      </c>
      <c r="B20" s="56">
        <v>54000</v>
      </c>
      <c r="C20" s="56">
        <v>-36000</v>
      </c>
      <c r="D20" s="56">
        <v>18000</v>
      </c>
      <c r="E20" s="56">
        <v>5800</v>
      </c>
      <c r="F20" s="56">
        <v>5800</v>
      </c>
      <c r="G20" s="56">
        <v>12200</v>
      </c>
    </row>
    <row r="21" spans="1:7" s="52" customFormat="1">
      <c r="A21" s="55" t="s">
        <v>25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s="52" customFormat="1">
      <c r="A22" s="55" t="s">
        <v>26</v>
      </c>
      <c r="B22" s="56">
        <v>402139.03</v>
      </c>
      <c r="C22" s="56">
        <f>-53250.32-C97</f>
        <v>-131945</v>
      </c>
      <c r="D22" s="56">
        <f>348888.71-D97</f>
        <v>270194.03000000003</v>
      </c>
      <c r="E22" s="56">
        <v>84891.93</v>
      </c>
      <c r="F22" s="56">
        <v>76066.03</v>
      </c>
      <c r="G22" s="56">
        <v>263996.78000000003</v>
      </c>
    </row>
    <row r="23" spans="1:7" s="52" customFormat="1">
      <c r="A23" s="53" t="s">
        <v>27</v>
      </c>
      <c r="B23" s="54">
        <f>SUM(B24:B32)</f>
        <v>3644790.1099999994</v>
      </c>
      <c r="C23" s="54">
        <f t="shared" ref="C23:F23" si="4">SUM(C24:C32)</f>
        <v>-466819</v>
      </c>
      <c r="D23" s="54">
        <f t="shared" si="4"/>
        <v>3177971.1100000003</v>
      </c>
      <c r="E23" s="54">
        <f t="shared" si="4"/>
        <v>667979.72</v>
      </c>
      <c r="F23" s="54">
        <f t="shared" si="4"/>
        <v>660186.9</v>
      </c>
      <c r="G23" s="54">
        <f t="shared" si="3"/>
        <v>2509991.3900000006</v>
      </c>
    </row>
    <row r="24" spans="1:7" s="52" customFormat="1">
      <c r="A24" s="55" t="s">
        <v>28</v>
      </c>
      <c r="B24" s="56">
        <v>774500</v>
      </c>
      <c r="C24" s="56">
        <v>-5953</v>
      </c>
      <c r="D24" s="56">
        <v>768547</v>
      </c>
      <c r="E24" s="56">
        <v>148342.57999999999</v>
      </c>
      <c r="F24" s="56">
        <v>147756.73000000001</v>
      </c>
      <c r="G24" s="56">
        <v>620204.42000000004</v>
      </c>
    </row>
    <row r="25" spans="1:7" s="52" customFormat="1">
      <c r="A25" s="55" t="s">
        <v>29</v>
      </c>
      <c r="B25" s="56">
        <v>335744.8</v>
      </c>
      <c r="C25" s="56">
        <v>-21716</v>
      </c>
      <c r="D25" s="56">
        <v>314028.79999999999</v>
      </c>
      <c r="E25" s="56">
        <v>101436.95</v>
      </c>
      <c r="F25" s="56">
        <v>101436.95</v>
      </c>
      <c r="G25" s="56">
        <v>212591.85</v>
      </c>
    </row>
    <row r="26" spans="1:7" s="52" customFormat="1">
      <c r="A26" s="55" t="s">
        <v>30</v>
      </c>
      <c r="B26" s="56">
        <v>77000</v>
      </c>
      <c r="C26" s="56">
        <v>4000</v>
      </c>
      <c r="D26" s="56">
        <v>81000</v>
      </c>
      <c r="E26" s="56">
        <v>3410.88</v>
      </c>
      <c r="F26" s="56">
        <v>3410.88</v>
      </c>
      <c r="G26" s="56">
        <v>77589.119999999995</v>
      </c>
    </row>
    <row r="27" spans="1:7" s="52" customFormat="1">
      <c r="A27" s="55" t="s">
        <v>31</v>
      </c>
      <c r="B27" s="56">
        <v>307000</v>
      </c>
      <c r="C27" s="56">
        <v>0</v>
      </c>
      <c r="D27" s="56">
        <v>307000</v>
      </c>
      <c r="E27" s="56">
        <v>3242.2</v>
      </c>
      <c r="F27" s="56">
        <v>3242.2</v>
      </c>
      <c r="G27" s="56">
        <v>303757.8</v>
      </c>
    </row>
    <row r="28" spans="1:7" s="52" customFormat="1">
      <c r="A28" s="55" t="s">
        <v>32</v>
      </c>
      <c r="B28" s="56">
        <v>474000</v>
      </c>
      <c r="C28" s="56">
        <v>-30000</v>
      </c>
      <c r="D28" s="56">
        <v>444000</v>
      </c>
      <c r="E28" s="56">
        <v>57514.67</v>
      </c>
      <c r="F28" s="56">
        <v>53555.7</v>
      </c>
      <c r="G28" s="56">
        <v>386485.33</v>
      </c>
    </row>
    <row r="29" spans="1:7" s="52" customFormat="1">
      <c r="A29" s="55" t="s">
        <v>33</v>
      </c>
      <c r="B29" s="56">
        <v>138000</v>
      </c>
      <c r="C29" s="56">
        <v>-50000</v>
      </c>
      <c r="D29" s="56">
        <v>88000</v>
      </c>
      <c r="E29" s="56">
        <v>22497.88</v>
      </c>
      <c r="F29" s="56">
        <v>19249.88</v>
      </c>
      <c r="G29" s="56">
        <v>65502.12</v>
      </c>
    </row>
    <row r="30" spans="1:7" s="52" customFormat="1">
      <c r="A30" s="55" t="s">
        <v>34</v>
      </c>
      <c r="B30" s="56">
        <f>215745.36-B105</f>
        <v>207105.36</v>
      </c>
      <c r="C30" s="56">
        <v>-4000</v>
      </c>
      <c r="D30" s="56">
        <f>211745.36-D105</f>
        <v>203105.36</v>
      </c>
      <c r="E30" s="56">
        <v>22438.080000000002</v>
      </c>
      <c r="F30" s="56">
        <v>22438.080000000002</v>
      </c>
      <c r="G30" s="56">
        <v>189307.28</v>
      </c>
    </row>
    <row r="31" spans="1:7" s="52" customFormat="1">
      <c r="A31" s="55" t="s">
        <v>35</v>
      </c>
      <c r="B31" s="56">
        <v>806439.95</v>
      </c>
      <c r="C31" s="56">
        <v>-359150</v>
      </c>
      <c r="D31" s="56">
        <v>447289.95</v>
      </c>
      <c r="E31" s="56">
        <v>128151.17</v>
      </c>
      <c r="F31" s="56">
        <v>128151.17</v>
      </c>
      <c r="G31" s="56">
        <v>319138.78000000003</v>
      </c>
    </row>
    <row r="32" spans="1:7" s="52" customFormat="1">
      <c r="A32" s="55" t="s">
        <v>36</v>
      </c>
      <c r="B32" s="56">
        <v>525000</v>
      </c>
      <c r="C32" s="56">
        <v>0</v>
      </c>
      <c r="D32" s="56">
        <v>525000</v>
      </c>
      <c r="E32" s="56">
        <v>180945.31</v>
      </c>
      <c r="F32" s="56">
        <v>180945.31</v>
      </c>
      <c r="G32" s="56">
        <v>344054.69</v>
      </c>
    </row>
    <row r="33" spans="1:9" s="52" customFormat="1">
      <c r="A33" s="53" t="s">
        <v>37</v>
      </c>
      <c r="B33" s="54">
        <f>SUM(B34:B42)</f>
        <v>4800000</v>
      </c>
      <c r="C33" s="54">
        <f t="shared" ref="C33:F33" si="5">SUM(C34:C42)</f>
        <v>0</v>
      </c>
      <c r="D33" s="54">
        <f t="shared" si="5"/>
        <v>4800000</v>
      </c>
      <c r="E33" s="54">
        <f t="shared" si="5"/>
        <v>671887.83</v>
      </c>
      <c r="F33" s="54">
        <f t="shared" si="5"/>
        <v>665140.64</v>
      </c>
      <c r="G33" s="54">
        <f t="shared" si="3"/>
        <v>4128112.17</v>
      </c>
    </row>
    <row r="34" spans="1:9" s="52" customFormat="1">
      <c r="A34" s="55" t="s">
        <v>38</v>
      </c>
      <c r="B34" s="56">
        <v>2100000</v>
      </c>
      <c r="C34" s="56">
        <v>0</v>
      </c>
      <c r="D34" s="56">
        <v>2100000</v>
      </c>
      <c r="E34" s="56">
        <v>0</v>
      </c>
      <c r="F34" s="56">
        <v>0</v>
      </c>
      <c r="G34" s="56">
        <v>2100000</v>
      </c>
    </row>
    <row r="35" spans="1:9" s="52" customFormat="1">
      <c r="A35" s="55" t="s">
        <v>39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</row>
    <row r="36" spans="1:9" s="52" customFormat="1">
      <c r="A36" s="55" t="s">
        <v>40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</row>
    <row r="37" spans="1:9" s="52" customFormat="1">
      <c r="A37" s="55" t="s">
        <v>41</v>
      </c>
      <c r="B37" s="56">
        <f>2883141-B112</f>
        <v>2700000</v>
      </c>
      <c r="C37" s="56">
        <v>0</v>
      </c>
      <c r="D37" s="56">
        <f>2790275.79-D112</f>
        <v>2700000</v>
      </c>
      <c r="E37" s="56">
        <f>684327.33-E112</f>
        <v>671887.83</v>
      </c>
      <c r="F37" s="56">
        <f>677580.14-F112</f>
        <v>665140.64</v>
      </c>
      <c r="G37" s="56">
        <v>2105948.46</v>
      </c>
      <c r="I37" s="51"/>
    </row>
    <row r="38" spans="1:9" s="52" customFormat="1">
      <c r="A38" s="55" t="s">
        <v>42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</row>
    <row r="39" spans="1:9" s="52" customFormat="1">
      <c r="A39" s="55" t="s">
        <v>43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</row>
    <row r="40" spans="1:9" s="52" customFormat="1">
      <c r="A40" s="55" t="s">
        <v>44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</row>
    <row r="41" spans="1:9" s="52" customFormat="1">
      <c r="A41" s="55" t="s">
        <v>45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9" s="52" customFormat="1">
      <c r="A42" s="55" t="s">
        <v>46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</row>
    <row r="43" spans="1:9" s="52" customFormat="1">
      <c r="A43" s="53" t="s">
        <v>47</v>
      </c>
      <c r="B43" s="54">
        <f>SUM(B44:B52)</f>
        <v>261190</v>
      </c>
      <c r="C43" s="54">
        <f t="shared" ref="C43:F43" si="6">SUM(C44:C52)</f>
        <v>577391</v>
      </c>
      <c r="D43" s="54">
        <f t="shared" si="6"/>
        <v>838581</v>
      </c>
      <c r="E43" s="54">
        <f t="shared" si="6"/>
        <v>68167.600000000006</v>
      </c>
      <c r="F43" s="54">
        <f t="shared" si="6"/>
        <v>64198.6</v>
      </c>
      <c r="G43" s="54">
        <f t="shared" si="3"/>
        <v>770413.4</v>
      </c>
    </row>
    <row r="44" spans="1:9" s="52" customFormat="1">
      <c r="A44" s="55" t="s">
        <v>48</v>
      </c>
      <c r="B44" s="56">
        <v>216190</v>
      </c>
      <c r="C44" s="56">
        <f>82629.88-C119-C124</f>
        <v>24475.000000000007</v>
      </c>
      <c r="D44" s="56">
        <f>298819.88-D119-D124</f>
        <v>240665</v>
      </c>
      <c r="E44" s="56">
        <v>50767.6</v>
      </c>
      <c r="F44" s="56">
        <v>46798.6</v>
      </c>
      <c r="G44" s="56">
        <v>248052.28</v>
      </c>
    </row>
    <row r="45" spans="1:9" s="52" customFormat="1">
      <c r="A45" s="55" t="s">
        <v>49</v>
      </c>
      <c r="B45" s="56">
        <v>15000</v>
      </c>
      <c r="C45" s="56">
        <v>0</v>
      </c>
      <c r="D45" s="56">
        <v>15000</v>
      </c>
      <c r="E45" s="56">
        <v>0</v>
      </c>
      <c r="F45" s="56">
        <v>0</v>
      </c>
      <c r="G45" s="56">
        <v>15000</v>
      </c>
    </row>
    <row r="46" spans="1:9" s="52" customFormat="1">
      <c r="A46" s="55" t="s">
        <v>50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</row>
    <row r="47" spans="1:9" s="52" customFormat="1">
      <c r="A47" s="55" t="s">
        <v>51</v>
      </c>
      <c r="B47" s="56">
        <v>0</v>
      </c>
      <c r="C47" s="56">
        <v>552916</v>
      </c>
      <c r="D47" s="56">
        <v>552916</v>
      </c>
      <c r="E47" s="56">
        <v>0</v>
      </c>
      <c r="F47" s="56">
        <v>0</v>
      </c>
      <c r="G47" s="56">
        <v>552916</v>
      </c>
    </row>
    <row r="48" spans="1:9" s="52" customFormat="1">
      <c r="A48" s="55" t="s">
        <v>52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</row>
    <row r="49" spans="1:7" s="52" customFormat="1">
      <c r="A49" s="55" t="s">
        <v>53</v>
      </c>
      <c r="B49" s="56">
        <v>30000</v>
      </c>
      <c r="C49" s="56">
        <f>0</f>
        <v>0</v>
      </c>
      <c r="D49" s="56">
        <f>30000</f>
        <v>30000</v>
      </c>
      <c r="E49" s="56">
        <v>17400</v>
      </c>
      <c r="F49" s="56">
        <v>17400</v>
      </c>
      <c r="G49" s="56">
        <v>12600</v>
      </c>
    </row>
    <row r="50" spans="1:7" s="52" customFormat="1">
      <c r="A50" s="55" t="s">
        <v>54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</row>
    <row r="51" spans="1:7" s="52" customFormat="1">
      <c r="A51" s="55" t="s">
        <v>55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</row>
    <row r="52" spans="1:7" s="52" customFormat="1">
      <c r="A52" s="55" t="s">
        <v>56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</row>
    <row r="53" spans="1:7" s="52" customFormat="1">
      <c r="A53" s="53" t="s">
        <v>57</v>
      </c>
      <c r="B53" s="54">
        <f>SUM(B54:B56)</f>
        <v>260810</v>
      </c>
      <c r="C53" s="54">
        <f>SUM(C54:C56)</f>
        <v>968330.7</v>
      </c>
      <c r="D53" s="54">
        <f t="shared" ref="D53:F53" si="7">SUM(D54:D56)</f>
        <v>1229140.7</v>
      </c>
      <c r="E53" s="54">
        <f t="shared" si="7"/>
        <v>48386.6</v>
      </c>
      <c r="F53" s="54">
        <f t="shared" si="7"/>
        <v>74713.100000000006</v>
      </c>
      <c r="G53" s="54">
        <f t="shared" si="3"/>
        <v>1180754.0999999999</v>
      </c>
    </row>
    <row r="54" spans="1:7" s="52" customFormat="1">
      <c r="A54" s="55" t="s">
        <v>58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</row>
    <row r="55" spans="1:7" s="52" customFormat="1">
      <c r="A55" s="55" t="s">
        <v>59</v>
      </c>
      <c r="B55" s="56">
        <v>260810</v>
      </c>
      <c r="C55" s="56">
        <v>968330.7</v>
      </c>
      <c r="D55" s="56">
        <v>1229140.7</v>
      </c>
      <c r="E55" s="56">
        <v>48386.6</v>
      </c>
      <c r="F55" s="56">
        <v>74713.100000000006</v>
      </c>
      <c r="G55" s="56">
        <v>1180754.1000000001</v>
      </c>
    </row>
    <row r="56" spans="1:7" s="52" customFormat="1">
      <c r="A56" s="55" t="s">
        <v>60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</row>
    <row r="57" spans="1:7" s="52" customFormat="1">
      <c r="A57" s="53" t="s">
        <v>61</v>
      </c>
      <c r="B57" s="54">
        <f>SUM(B58:B65)</f>
        <v>0</v>
      </c>
      <c r="C57" s="54">
        <f t="shared" ref="C57:F57" si="8">SUM(C58:C65)</f>
        <v>0</v>
      </c>
      <c r="D57" s="54">
        <f t="shared" si="8"/>
        <v>0</v>
      </c>
      <c r="E57" s="54">
        <f t="shared" si="8"/>
        <v>0</v>
      </c>
      <c r="F57" s="54">
        <f t="shared" si="8"/>
        <v>0</v>
      </c>
      <c r="G57" s="54">
        <f t="shared" si="3"/>
        <v>0</v>
      </c>
    </row>
    <row r="58" spans="1:7" s="52" customFormat="1">
      <c r="A58" s="55" t="s">
        <v>62</v>
      </c>
      <c r="B58" s="56"/>
      <c r="C58" s="56"/>
      <c r="D58" s="56"/>
      <c r="E58" s="56"/>
      <c r="F58" s="56"/>
      <c r="G58" s="56">
        <f t="shared" si="3"/>
        <v>0</v>
      </c>
    </row>
    <row r="59" spans="1:7" s="52" customFormat="1">
      <c r="A59" s="55" t="s">
        <v>63</v>
      </c>
      <c r="B59" s="56"/>
      <c r="C59" s="56"/>
      <c r="D59" s="56"/>
      <c r="E59" s="56"/>
      <c r="F59" s="56"/>
      <c r="G59" s="56">
        <f t="shared" si="3"/>
        <v>0</v>
      </c>
    </row>
    <row r="60" spans="1:7" s="52" customFormat="1">
      <c r="A60" s="55" t="s">
        <v>64</v>
      </c>
      <c r="B60" s="56"/>
      <c r="C60" s="56"/>
      <c r="D60" s="56"/>
      <c r="E60" s="56"/>
      <c r="F60" s="56"/>
      <c r="G60" s="56">
        <f t="shared" si="3"/>
        <v>0</v>
      </c>
    </row>
    <row r="61" spans="1:7" s="52" customFormat="1">
      <c r="A61" s="55" t="s">
        <v>65</v>
      </c>
      <c r="B61" s="56"/>
      <c r="C61" s="56"/>
      <c r="D61" s="56"/>
      <c r="E61" s="56"/>
      <c r="F61" s="56"/>
      <c r="G61" s="56">
        <f t="shared" si="3"/>
        <v>0</v>
      </c>
    </row>
    <row r="62" spans="1:7" s="52" customFormat="1">
      <c r="A62" s="55" t="s">
        <v>66</v>
      </c>
      <c r="B62" s="56"/>
      <c r="C62" s="56"/>
      <c r="D62" s="56"/>
      <c r="E62" s="56"/>
      <c r="F62" s="56"/>
      <c r="G62" s="56">
        <f t="shared" si="3"/>
        <v>0</v>
      </c>
    </row>
    <row r="63" spans="1:7" s="52" customFormat="1">
      <c r="A63" s="55" t="s">
        <v>67</v>
      </c>
      <c r="B63" s="56"/>
      <c r="C63" s="56"/>
      <c r="D63" s="56"/>
      <c r="E63" s="56"/>
      <c r="F63" s="56"/>
      <c r="G63" s="56">
        <f t="shared" si="3"/>
        <v>0</v>
      </c>
    </row>
    <row r="64" spans="1:7" s="52" customFormat="1">
      <c r="A64" s="55" t="s">
        <v>68</v>
      </c>
      <c r="B64" s="56"/>
      <c r="C64" s="56"/>
      <c r="D64" s="56"/>
      <c r="E64" s="56"/>
      <c r="F64" s="56"/>
      <c r="G64" s="56">
        <f t="shared" si="3"/>
        <v>0</v>
      </c>
    </row>
    <row r="65" spans="1:9" s="52" customFormat="1">
      <c r="A65" s="55" t="s">
        <v>69</v>
      </c>
      <c r="B65" s="56"/>
      <c r="C65" s="56"/>
      <c r="D65" s="56"/>
      <c r="E65" s="56"/>
      <c r="F65" s="56"/>
      <c r="G65" s="56">
        <f t="shared" si="3"/>
        <v>0</v>
      </c>
    </row>
    <row r="66" spans="1:9" s="52" customFormat="1">
      <c r="A66" s="53" t="s">
        <v>70</v>
      </c>
      <c r="B66" s="54">
        <f>SUM(B67:B69)</f>
        <v>0</v>
      </c>
      <c r="C66" s="54">
        <f t="shared" ref="C66:F66" si="9">SUM(C67:C69)</f>
        <v>0</v>
      </c>
      <c r="D66" s="54">
        <f t="shared" si="9"/>
        <v>0</v>
      </c>
      <c r="E66" s="54">
        <f t="shared" si="9"/>
        <v>0</v>
      </c>
      <c r="F66" s="54">
        <f t="shared" si="9"/>
        <v>0</v>
      </c>
      <c r="G66" s="54">
        <f t="shared" si="3"/>
        <v>0</v>
      </c>
    </row>
    <row r="67" spans="1:9" s="52" customFormat="1">
      <c r="A67" s="55" t="s">
        <v>71</v>
      </c>
      <c r="B67" s="56"/>
      <c r="C67" s="56"/>
      <c r="D67" s="56"/>
      <c r="E67" s="56"/>
      <c r="F67" s="56"/>
      <c r="G67" s="56">
        <f t="shared" si="3"/>
        <v>0</v>
      </c>
    </row>
    <row r="68" spans="1:9" s="52" customFormat="1">
      <c r="A68" s="55" t="s">
        <v>72</v>
      </c>
      <c r="B68" s="56"/>
      <c r="C68" s="56"/>
      <c r="D68" s="56"/>
      <c r="E68" s="56"/>
      <c r="F68" s="56"/>
      <c r="G68" s="56">
        <f t="shared" si="3"/>
        <v>0</v>
      </c>
    </row>
    <row r="69" spans="1:9" s="52" customFormat="1">
      <c r="A69" s="55" t="s">
        <v>73</v>
      </c>
      <c r="B69" s="56"/>
      <c r="C69" s="56"/>
      <c r="D69" s="56"/>
      <c r="E69" s="56"/>
      <c r="F69" s="56"/>
      <c r="G69" s="56">
        <f t="shared" si="3"/>
        <v>0</v>
      </c>
    </row>
    <row r="70" spans="1:9" s="52" customFormat="1">
      <c r="A70" s="53" t="s">
        <v>74</v>
      </c>
      <c r="B70" s="54">
        <f>SUM(B71:B77)</f>
        <v>0</v>
      </c>
      <c r="C70" s="54">
        <f t="shared" ref="C70:F70" si="10">SUM(C71:C77)</f>
        <v>0</v>
      </c>
      <c r="D70" s="54">
        <f t="shared" si="10"/>
        <v>0</v>
      </c>
      <c r="E70" s="54">
        <f t="shared" si="10"/>
        <v>0</v>
      </c>
      <c r="F70" s="54">
        <f t="shared" si="10"/>
        <v>0</v>
      </c>
      <c r="G70" s="54">
        <f t="shared" si="3"/>
        <v>0</v>
      </c>
    </row>
    <row r="71" spans="1:9" s="52" customFormat="1">
      <c r="A71" s="55" t="s">
        <v>75</v>
      </c>
      <c r="B71" s="56"/>
      <c r="C71" s="56"/>
      <c r="D71" s="56"/>
      <c r="E71" s="56"/>
      <c r="F71" s="56"/>
      <c r="G71" s="56">
        <f t="shared" ref="G71:G77" si="11">D71-E71</f>
        <v>0</v>
      </c>
    </row>
    <row r="72" spans="1:9" s="52" customFormat="1">
      <c r="A72" s="55" t="s">
        <v>76</v>
      </c>
      <c r="B72" s="56"/>
      <c r="C72" s="56"/>
      <c r="D72" s="56"/>
      <c r="E72" s="56"/>
      <c r="F72" s="56"/>
      <c r="G72" s="56">
        <f t="shared" si="11"/>
        <v>0</v>
      </c>
    </row>
    <row r="73" spans="1:9" s="52" customFormat="1">
      <c r="A73" s="55" t="s">
        <v>77</v>
      </c>
      <c r="B73" s="56"/>
      <c r="C73" s="56"/>
      <c r="D73" s="56"/>
      <c r="E73" s="56"/>
      <c r="F73" s="56"/>
      <c r="G73" s="56">
        <f t="shared" si="11"/>
        <v>0</v>
      </c>
    </row>
    <row r="74" spans="1:9" s="52" customFormat="1">
      <c r="A74" s="55" t="s">
        <v>78</v>
      </c>
      <c r="B74" s="56"/>
      <c r="C74" s="56"/>
      <c r="D74" s="56"/>
      <c r="E74" s="56"/>
      <c r="F74" s="56"/>
      <c r="G74" s="56">
        <f t="shared" si="11"/>
        <v>0</v>
      </c>
    </row>
    <row r="75" spans="1:9" s="52" customFormat="1">
      <c r="A75" s="55" t="s">
        <v>79</v>
      </c>
      <c r="B75" s="56"/>
      <c r="C75" s="56"/>
      <c r="D75" s="56"/>
      <c r="E75" s="56"/>
      <c r="F75" s="56"/>
      <c r="G75" s="56">
        <f t="shared" si="11"/>
        <v>0</v>
      </c>
    </row>
    <row r="76" spans="1:9" s="52" customFormat="1">
      <c r="A76" s="55" t="s">
        <v>80</v>
      </c>
      <c r="B76" s="56"/>
      <c r="C76" s="56"/>
      <c r="D76" s="56"/>
      <c r="E76" s="56"/>
      <c r="F76" s="56"/>
      <c r="G76" s="56">
        <f t="shared" si="11"/>
        <v>0</v>
      </c>
    </row>
    <row r="77" spans="1:9" s="52" customFormat="1">
      <c r="A77" s="55" t="s">
        <v>81</v>
      </c>
      <c r="B77" s="56"/>
      <c r="C77" s="56"/>
      <c r="D77" s="56"/>
      <c r="E77" s="56"/>
      <c r="F77" s="56"/>
      <c r="G77" s="56">
        <f t="shared" si="11"/>
        <v>0</v>
      </c>
    </row>
    <row r="78" spans="1:9" s="52" customFormat="1" ht="5.0999999999999996" customHeight="1">
      <c r="A78" s="57"/>
      <c r="B78" s="48"/>
      <c r="C78" s="48"/>
      <c r="D78" s="48"/>
      <c r="E78" s="48"/>
      <c r="F78" s="48"/>
      <c r="G78" s="48"/>
    </row>
    <row r="79" spans="1:9" s="52" customFormat="1">
      <c r="A79" s="57" t="s">
        <v>82</v>
      </c>
      <c r="B79" s="48">
        <f>B80+B88+B98+B108+B118+B128+B132+B141+B145</f>
        <v>626700.96</v>
      </c>
      <c r="C79" s="48">
        <f t="shared" ref="C79:F79" si="12">C80+C88+C98+C108+C118+C128+C132+C141+C145</f>
        <v>94331.889999999985</v>
      </c>
      <c r="D79" s="48">
        <f t="shared" si="12"/>
        <v>721032.85</v>
      </c>
      <c r="E79" s="48">
        <f t="shared" si="12"/>
        <v>34527.5</v>
      </c>
      <c r="F79" s="48">
        <f t="shared" si="12"/>
        <v>34527.5</v>
      </c>
      <c r="G79" s="48">
        <f>G80+G88+G98+G108+G118+G128+G132+G141+G145</f>
        <v>686505.35</v>
      </c>
      <c r="I79" s="51"/>
    </row>
    <row r="80" spans="1:9" s="52" customFormat="1">
      <c r="A80" s="58" t="s">
        <v>9</v>
      </c>
      <c r="B80" s="48">
        <f>SUM(B81:B87)</f>
        <v>434919.95999999996</v>
      </c>
      <c r="C80" s="48">
        <f t="shared" ref="C80:F80" si="13">SUM(C81:C87)</f>
        <v>22016.04</v>
      </c>
      <c r="D80" s="48">
        <f>SUM(D81:D87)</f>
        <v>456935.99999999994</v>
      </c>
      <c r="E80" s="48">
        <f t="shared" si="13"/>
        <v>22088</v>
      </c>
      <c r="F80" s="48">
        <f t="shared" si="13"/>
        <v>22088</v>
      </c>
      <c r="G80" s="48">
        <f>SUM(G81:G87)</f>
        <v>434847.99999999994</v>
      </c>
    </row>
    <row r="81" spans="1:7" s="52" customFormat="1">
      <c r="A81" s="59" t="s">
        <v>10</v>
      </c>
      <c r="B81" s="47"/>
      <c r="C81" s="47"/>
      <c r="D81" s="47"/>
      <c r="E81" s="47"/>
      <c r="F81" s="47"/>
      <c r="G81" s="47">
        <f t="shared" ref="G81:G144" si="14">D81-E81</f>
        <v>0</v>
      </c>
    </row>
    <row r="82" spans="1:7" s="52" customFormat="1">
      <c r="A82" s="59" t="s">
        <v>11</v>
      </c>
      <c r="B82" s="47"/>
      <c r="C82" s="47"/>
      <c r="D82" s="47"/>
      <c r="E82" s="47"/>
      <c r="F82" s="47"/>
      <c r="G82" s="47">
        <f t="shared" si="14"/>
        <v>0</v>
      </c>
    </row>
    <row r="83" spans="1:7" s="52" customFormat="1">
      <c r="A83" s="59" t="s">
        <v>12</v>
      </c>
      <c r="B83" s="47">
        <f>274920+159999.96</f>
        <v>434919.95999999996</v>
      </c>
      <c r="C83" s="47">
        <f>-16080+78096-39999.96</f>
        <v>22016.04</v>
      </c>
      <c r="D83" s="47">
        <f>+B83+C83</f>
        <v>456935.99999999994</v>
      </c>
      <c r="E83" s="47">
        <f>2088+20000</f>
        <v>22088</v>
      </c>
      <c r="F83" s="47">
        <f>2088+20000</f>
        <v>22088</v>
      </c>
      <c r="G83" s="47">
        <f t="shared" si="14"/>
        <v>434847.99999999994</v>
      </c>
    </row>
    <row r="84" spans="1:7" s="52" customFormat="1">
      <c r="A84" s="59" t="s">
        <v>13</v>
      </c>
      <c r="B84" s="47"/>
      <c r="C84" s="47"/>
      <c r="D84" s="47"/>
      <c r="E84" s="47"/>
      <c r="F84" s="47"/>
      <c r="G84" s="47">
        <f t="shared" si="14"/>
        <v>0</v>
      </c>
    </row>
    <row r="85" spans="1:7" s="52" customFormat="1">
      <c r="A85" s="59" t="s">
        <v>14</v>
      </c>
      <c r="B85" s="47"/>
      <c r="C85" s="47"/>
      <c r="D85" s="47"/>
      <c r="E85" s="47"/>
      <c r="F85" s="47"/>
      <c r="G85" s="47">
        <f t="shared" si="14"/>
        <v>0</v>
      </c>
    </row>
    <row r="86" spans="1:7" s="52" customFormat="1">
      <c r="A86" s="59" t="s">
        <v>15</v>
      </c>
      <c r="B86" s="47"/>
      <c r="C86" s="47"/>
      <c r="D86" s="47"/>
      <c r="E86" s="47"/>
      <c r="F86" s="47"/>
      <c r="G86" s="47">
        <f t="shared" si="14"/>
        <v>0</v>
      </c>
    </row>
    <row r="87" spans="1:7" s="52" customFormat="1">
      <c r="A87" s="59" t="s">
        <v>16</v>
      </c>
      <c r="B87" s="47"/>
      <c r="C87" s="47"/>
      <c r="D87" s="47"/>
      <c r="E87" s="47"/>
      <c r="F87" s="47"/>
      <c r="G87" s="47">
        <f t="shared" si="14"/>
        <v>0</v>
      </c>
    </row>
    <row r="88" spans="1:7" s="52" customFormat="1">
      <c r="A88" s="58" t="s">
        <v>17</v>
      </c>
      <c r="B88" s="48">
        <f>SUM(B89:B97)</f>
        <v>0</v>
      </c>
      <c r="C88" s="48">
        <f>SUM(C89:C97)</f>
        <v>107026.18</v>
      </c>
      <c r="D88" s="48">
        <f>SUM(D89:D97)</f>
        <v>107026.18</v>
      </c>
      <c r="E88" s="48">
        <f t="shared" ref="E88:F88" si="15">SUM(E89:E97)</f>
        <v>0</v>
      </c>
      <c r="F88" s="48">
        <f t="shared" si="15"/>
        <v>0</v>
      </c>
      <c r="G88" s="48">
        <f t="shared" si="14"/>
        <v>107026.18</v>
      </c>
    </row>
    <row r="89" spans="1:7" s="52" customFormat="1">
      <c r="A89" s="59" t="s">
        <v>18</v>
      </c>
      <c r="B89" s="47"/>
      <c r="C89" s="47"/>
      <c r="D89" s="47"/>
      <c r="E89" s="47"/>
      <c r="F89" s="47"/>
      <c r="G89" s="47">
        <f t="shared" si="14"/>
        <v>0</v>
      </c>
    </row>
    <row r="90" spans="1:7" s="52" customFormat="1">
      <c r="A90" s="59" t="s">
        <v>19</v>
      </c>
      <c r="B90" s="47"/>
      <c r="C90" s="47">
        <v>28331.5</v>
      </c>
      <c r="D90" s="47">
        <v>28331.5</v>
      </c>
      <c r="E90" s="47"/>
      <c r="F90" s="47"/>
      <c r="G90" s="47">
        <f t="shared" si="14"/>
        <v>28331.5</v>
      </c>
    </row>
    <row r="91" spans="1:7" s="52" customFormat="1">
      <c r="A91" s="59" t="s">
        <v>20</v>
      </c>
      <c r="B91" s="47"/>
      <c r="C91" s="47"/>
      <c r="D91" s="47"/>
      <c r="E91" s="47"/>
      <c r="F91" s="47"/>
      <c r="G91" s="47">
        <f t="shared" si="14"/>
        <v>0</v>
      </c>
    </row>
    <row r="92" spans="1:7" s="52" customFormat="1">
      <c r="A92" s="59" t="s">
        <v>21</v>
      </c>
      <c r="B92" s="47"/>
      <c r="C92" s="47"/>
      <c r="D92" s="47"/>
      <c r="E92" s="47"/>
      <c r="F92" s="47"/>
      <c r="G92" s="47">
        <f t="shared" si="14"/>
        <v>0</v>
      </c>
    </row>
    <row r="93" spans="1:7" s="52" customFormat="1">
      <c r="A93" s="59" t="s">
        <v>22</v>
      </c>
      <c r="B93" s="47"/>
      <c r="C93" s="47"/>
      <c r="D93" s="47"/>
      <c r="E93" s="47"/>
      <c r="F93" s="47"/>
      <c r="G93" s="47">
        <f t="shared" si="14"/>
        <v>0</v>
      </c>
    </row>
    <row r="94" spans="1:7" s="52" customFormat="1">
      <c r="A94" s="59" t="s">
        <v>23</v>
      </c>
      <c r="B94" s="47"/>
      <c r="C94" s="47"/>
      <c r="D94" s="47"/>
      <c r="E94" s="47"/>
      <c r="F94" s="47"/>
      <c r="G94" s="47">
        <f t="shared" si="14"/>
        <v>0</v>
      </c>
    </row>
    <row r="95" spans="1:7" s="52" customFormat="1">
      <c r="A95" s="59" t="s">
        <v>24</v>
      </c>
      <c r="B95" s="47"/>
      <c r="C95" s="47"/>
      <c r="D95" s="47"/>
      <c r="E95" s="47"/>
      <c r="F95" s="47"/>
      <c r="G95" s="47">
        <f t="shared" si="14"/>
        <v>0</v>
      </c>
    </row>
    <row r="96" spans="1:7" s="52" customFormat="1">
      <c r="A96" s="59" t="s">
        <v>25</v>
      </c>
      <c r="B96" s="47"/>
      <c r="C96" s="47"/>
      <c r="D96" s="47"/>
      <c r="E96" s="47"/>
      <c r="F96" s="47"/>
      <c r="G96" s="47">
        <f t="shared" si="14"/>
        <v>0</v>
      </c>
    </row>
    <row r="97" spans="1:8" s="52" customFormat="1">
      <c r="A97" s="59" t="s">
        <v>26</v>
      </c>
      <c r="B97" s="47"/>
      <c r="C97" s="47">
        <v>78694.679999999993</v>
      </c>
      <c r="D97" s="47">
        <v>78694.679999999993</v>
      </c>
      <c r="E97" s="47"/>
      <c r="F97" s="47"/>
      <c r="G97" s="47">
        <f t="shared" si="14"/>
        <v>78694.679999999993</v>
      </c>
    </row>
    <row r="98" spans="1:8" s="52" customFormat="1">
      <c r="A98" s="58" t="s">
        <v>27</v>
      </c>
      <c r="B98" s="48">
        <f>SUM(B99:B107)</f>
        <v>8640</v>
      </c>
      <c r="C98" s="48">
        <f t="shared" ref="C98:F98" si="16">SUM(C99:C107)</f>
        <v>0</v>
      </c>
      <c r="D98" s="48">
        <f>SUM(D99:D107)</f>
        <v>8640</v>
      </c>
      <c r="E98" s="48">
        <f t="shared" si="16"/>
        <v>0</v>
      </c>
      <c r="F98" s="48">
        <f t="shared" si="16"/>
        <v>0</v>
      </c>
      <c r="G98" s="48">
        <f t="shared" si="14"/>
        <v>8640</v>
      </c>
    </row>
    <row r="99" spans="1:8" s="52" customFormat="1">
      <c r="A99" s="59" t="s">
        <v>28</v>
      </c>
      <c r="B99" s="47"/>
      <c r="C99" s="47"/>
      <c r="D99" s="47"/>
      <c r="E99" s="47"/>
      <c r="F99" s="47"/>
      <c r="G99" s="47">
        <f t="shared" si="14"/>
        <v>0</v>
      </c>
    </row>
    <row r="100" spans="1:8" s="52" customFormat="1">
      <c r="A100" s="59" t="s">
        <v>29</v>
      </c>
      <c r="B100" s="47"/>
      <c r="C100" s="47"/>
      <c r="D100" s="47"/>
      <c r="E100" s="47"/>
      <c r="F100" s="47"/>
      <c r="G100" s="47">
        <f t="shared" si="14"/>
        <v>0</v>
      </c>
    </row>
    <row r="101" spans="1:8" s="52" customFormat="1">
      <c r="A101" s="59" t="s">
        <v>30</v>
      </c>
      <c r="B101" s="47"/>
      <c r="C101" s="47"/>
      <c r="D101" s="47"/>
      <c r="E101" s="47"/>
      <c r="F101" s="47"/>
      <c r="G101" s="47">
        <f t="shared" si="14"/>
        <v>0</v>
      </c>
    </row>
    <row r="102" spans="1:8" s="52" customFormat="1">
      <c r="A102" s="59" t="s">
        <v>31</v>
      </c>
      <c r="B102" s="47"/>
      <c r="C102" s="47"/>
      <c r="D102" s="47"/>
      <c r="E102" s="47"/>
      <c r="F102" s="47"/>
      <c r="G102" s="47">
        <f t="shared" si="14"/>
        <v>0</v>
      </c>
    </row>
    <row r="103" spans="1:8" s="52" customFormat="1">
      <c r="A103" s="59" t="s">
        <v>32</v>
      </c>
      <c r="B103" s="47"/>
      <c r="C103" s="47"/>
      <c r="D103" s="47"/>
      <c r="E103" s="47"/>
      <c r="F103" s="47"/>
      <c r="G103" s="47">
        <f t="shared" si="14"/>
        <v>0</v>
      </c>
    </row>
    <row r="104" spans="1:8" s="52" customFormat="1">
      <c r="A104" s="59" t="s">
        <v>33</v>
      </c>
      <c r="B104" s="47"/>
      <c r="C104" s="47"/>
      <c r="D104" s="47"/>
      <c r="E104" s="47"/>
      <c r="F104" s="47"/>
      <c r="G104" s="47">
        <f t="shared" si="14"/>
        <v>0</v>
      </c>
    </row>
    <row r="105" spans="1:8" s="52" customFormat="1">
      <c r="A105" s="59" t="s">
        <v>34</v>
      </c>
      <c r="B105" s="47">
        <v>8640</v>
      </c>
      <c r="C105" s="47">
        <v>0</v>
      </c>
      <c r="D105" s="47">
        <v>8640</v>
      </c>
      <c r="E105" s="47"/>
      <c r="F105" s="47"/>
      <c r="G105" s="47">
        <f t="shared" si="14"/>
        <v>8640</v>
      </c>
    </row>
    <row r="106" spans="1:8" s="52" customFormat="1">
      <c r="A106" s="59" t="s">
        <v>35</v>
      </c>
      <c r="B106" s="47"/>
      <c r="C106" s="47"/>
      <c r="D106" s="47"/>
      <c r="E106" s="47"/>
      <c r="F106" s="47"/>
      <c r="G106" s="47">
        <f t="shared" si="14"/>
        <v>0</v>
      </c>
    </row>
    <row r="107" spans="1:8" s="52" customFormat="1">
      <c r="A107" s="59" t="s">
        <v>36</v>
      </c>
      <c r="B107" s="47"/>
      <c r="C107" s="47"/>
      <c r="D107" s="47"/>
      <c r="E107" s="47"/>
      <c r="F107" s="47"/>
      <c r="G107" s="47">
        <f t="shared" si="14"/>
        <v>0</v>
      </c>
    </row>
    <row r="108" spans="1:8" s="52" customFormat="1">
      <c r="A108" s="58" t="s">
        <v>37</v>
      </c>
      <c r="B108" s="48">
        <f>SUM(B109:B117)</f>
        <v>183141</v>
      </c>
      <c r="C108" s="48">
        <f t="shared" ref="C108:F108" si="17">SUM(C109:C117)</f>
        <v>-92865.21</v>
      </c>
      <c r="D108" s="48">
        <f>SUM(D109:D117)</f>
        <v>90275.79</v>
      </c>
      <c r="E108" s="48">
        <f t="shared" si="17"/>
        <v>12439.5</v>
      </c>
      <c r="F108" s="48">
        <f t="shared" si="17"/>
        <v>12439.5</v>
      </c>
      <c r="G108" s="48">
        <f t="shared" si="14"/>
        <v>77836.289999999994</v>
      </c>
      <c r="H108" s="51"/>
    </row>
    <row r="109" spans="1:8" s="52" customFormat="1">
      <c r="A109" s="59" t="s">
        <v>38</v>
      </c>
      <c r="B109" s="47"/>
      <c r="C109" s="47"/>
      <c r="D109" s="47"/>
      <c r="E109" s="47"/>
      <c r="F109" s="47"/>
      <c r="G109" s="47">
        <f t="shared" si="14"/>
        <v>0</v>
      </c>
    </row>
    <row r="110" spans="1:8" s="52" customFormat="1">
      <c r="A110" s="59" t="s">
        <v>39</v>
      </c>
      <c r="B110" s="47"/>
      <c r="C110" s="47"/>
      <c r="D110" s="47"/>
      <c r="E110" s="47"/>
      <c r="F110" s="47"/>
      <c r="G110" s="47">
        <f t="shared" si="14"/>
        <v>0</v>
      </c>
    </row>
    <row r="111" spans="1:8" s="52" customFormat="1">
      <c r="A111" s="59" t="s">
        <v>40</v>
      </c>
      <c r="B111" s="47"/>
      <c r="C111" s="47"/>
      <c r="D111" s="47"/>
      <c r="E111" s="47"/>
      <c r="F111" s="47"/>
      <c r="G111" s="47">
        <f t="shared" si="14"/>
        <v>0</v>
      </c>
    </row>
    <row r="112" spans="1:8" s="52" customFormat="1">
      <c r="A112" s="59" t="s">
        <v>41</v>
      </c>
      <c r="B112" s="47">
        <v>183141</v>
      </c>
      <c r="C112" s="47">
        <v>-92865.21</v>
      </c>
      <c r="D112" s="47">
        <f>+B112+C112</f>
        <v>90275.79</v>
      </c>
      <c r="E112" s="47">
        <v>12439.5</v>
      </c>
      <c r="F112" s="47">
        <v>12439.5</v>
      </c>
      <c r="G112" s="47">
        <f t="shared" si="14"/>
        <v>77836.289999999994</v>
      </c>
    </row>
    <row r="113" spans="1:7" s="52" customFormat="1">
      <c r="A113" s="59" t="s">
        <v>42</v>
      </c>
      <c r="B113" s="47"/>
      <c r="C113" s="47"/>
      <c r="D113" s="47"/>
      <c r="E113" s="47"/>
      <c r="F113" s="47"/>
      <c r="G113" s="47">
        <f t="shared" si="14"/>
        <v>0</v>
      </c>
    </row>
    <row r="114" spans="1:7" s="52" customFormat="1">
      <c r="A114" s="59" t="s">
        <v>43</v>
      </c>
      <c r="B114" s="47"/>
      <c r="C114" s="47"/>
      <c r="D114" s="47"/>
      <c r="E114" s="47"/>
      <c r="F114" s="47"/>
      <c r="G114" s="47">
        <f t="shared" si="14"/>
        <v>0</v>
      </c>
    </row>
    <row r="115" spans="1:7" s="52" customFormat="1">
      <c r="A115" s="59" t="s">
        <v>44</v>
      </c>
      <c r="B115" s="47"/>
      <c r="C115" s="47"/>
      <c r="D115" s="47"/>
      <c r="E115" s="47"/>
      <c r="F115" s="47"/>
      <c r="G115" s="47">
        <f t="shared" si="14"/>
        <v>0</v>
      </c>
    </row>
    <row r="116" spans="1:7" s="52" customFormat="1">
      <c r="A116" s="59" t="s">
        <v>45</v>
      </c>
      <c r="B116" s="47"/>
      <c r="C116" s="47"/>
      <c r="D116" s="47"/>
      <c r="E116" s="47"/>
      <c r="F116" s="47"/>
      <c r="G116" s="47">
        <f t="shared" si="14"/>
        <v>0</v>
      </c>
    </row>
    <row r="117" spans="1:7" s="52" customFormat="1">
      <c r="A117" s="59" t="s">
        <v>46</v>
      </c>
      <c r="B117" s="47"/>
      <c r="C117" s="47"/>
      <c r="D117" s="47"/>
      <c r="E117" s="47"/>
      <c r="F117" s="47"/>
      <c r="G117" s="47">
        <f t="shared" si="14"/>
        <v>0</v>
      </c>
    </row>
    <row r="118" spans="1:7" s="52" customFormat="1">
      <c r="A118" s="58" t="s">
        <v>47</v>
      </c>
      <c r="B118" s="48">
        <f>SUM(B119:B127)</f>
        <v>0</v>
      </c>
      <c r="C118" s="48">
        <f>SUM(C119:C127)</f>
        <v>58154.879999999997</v>
      </c>
      <c r="D118" s="48">
        <f>SUM(D119:D127)</f>
        <v>58154.879999999997</v>
      </c>
      <c r="E118" s="48">
        <f t="shared" ref="E118:F118" si="18">SUM(E119:E127)</f>
        <v>0</v>
      </c>
      <c r="F118" s="48">
        <f t="shared" si="18"/>
        <v>0</v>
      </c>
      <c r="G118" s="48">
        <f t="shared" si="14"/>
        <v>58154.879999999997</v>
      </c>
    </row>
    <row r="119" spans="1:7" s="52" customFormat="1">
      <c r="A119" s="59" t="s">
        <v>48</v>
      </c>
      <c r="B119" s="47"/>
      <c r="C119" s="47">
        <v>23628</v>
      </c>
      <c r="D119" s="47">
        <v>23628</v>
      </c>
      <c r="E119" s="47"/>
      <c r="F119" s="47"/>
      <c r="G119" s="47">
        <f t="shared" si="14"/>
        <v>23628</v>
      </c>
    </row>
    <row r="120" spans="1:7" s="52" customFormat="1">
      <c r="A120" s="59" t="s">
        <v>49</v>
      </c>
      <c r="B120" s="47"/>
      <c r="C120" s="47"/>
      <c r="D120" s="47"/>
      <c r="E120" s="47"/>
      <c r="F120" s="47"/>
      <c r="G120" s="47">
        <f t="shared" si="14"/>
        <v>0</v>
      </c>
    </row>
    <row r="121" spans="1:7" s="52" customFormat="1">
      <c r="A121" s="59" t="s">
        <v>50</v>
      </c>
      <c r="B121" s="47"/>
      <c r="C121" s="47"/>
      <c r="D121" s="47"/>
      <c r="E121" s="47"/>
      <c r="F121" s="47"/>
      <c r="G121" s="47">
        <f t="shared" si="14"/>
        <v>0</v>
      </c>
    </row>
    <row r="122" spans="1:7" s="52" customFormat="1">
      <c r="A122" s="59" t="s">
        <v>51</v>
      </c>
      <c r="B122" s="47"/>
      <c r="C122" s="47"/>
      <c r="D122" s="47"/>
      <c r="E122" s="47"/>
      <c r="F122" s="47"/>
      <c r="G122" s="47">
        <f t="shared" si="14"/>
        <v>0</v>
      </c>
    </row>
    <row r="123" spans="1:7" s="52" customFormat="1">
      <c r="A123" s="59" t="s">
        <v>52</v>
      </c>
      <c r="B123" s="47"/>
      <c r="C123" s="47"/>
      <c r="D123" s="47"/>
      <c r="E123" s="47"/>
      <c r="F123" s="47"/>
      <c r="G123" s="47">
        <f t="shared" si="14"/>
        <v>0</v>
      </c>
    </row>
    <row r="124" spans="1:7" s="52" customFormat="1">
      <c r="A124" s="59" t="s">
        <v>53</v>
      </c>
      <c r="B124" s="47"/>
      <c r="C124" s="47">
        <v>34526.879999999997</v>
      </c>
      <c r="D124" s="47">
        <v>34526.879999999997</v>
      </c>
      <c r="E124" s="47"/>
      <c r="F124" s="47"/>
      <c r="G124" s="47">
        <f t="shared" si="14"/>
        <v>34526.879999999997</v>
      </c>
    </row>
    <row r="125" spans="1:7">
      <c r="A125" s="5" t="s">
        <v>54</v>
      </c>
      <c r="B125" s="6"/>
      <c r="C125" s="6"/>
      <c r="D125" s="6"/>
      <c r="E125" s="6"/>
      <c r="F125" s="6"/>
      <c r="G125" s="6">
        <f t="shared" si="14"/>
        <v>0</v>
      </c>
    </row>
    <row r="126" spans="1:7">
      <c r="A126" s="5" t="s">
        <v>55</v>
      </c>
      <c r="B126" s="6"/>
      <c r="C126" s="6"/>
      <c r="D126" s="6"/>
      <c r="E126" s="6"/>
      <c r="F126" s="6"/>
      <c r="G126" s="6">
        <f t="shared" si="14"/>
        <v>0</v>
      </c>
    </row>
    <row r="127" spans="1:7">
      <c r="A127" s="5" t="s">
        <v>56</v>
      </c>
      <c r="B127" s="6"/>
      <c r="C127" s="6"/>
      <c r="D127" s="6"/>
      <c r="E127" s="6"/>
      <c r="F127" s="6"/>
      <c r="G127" s="6">
        <f t="shared" si="14"/>
        <v>0</v>
      </c>
    </row>
    <row r="128" spans="1:7">
      <c r="A128" s="4" t="s">
        <v>57</v>
      </c>
      <c r="B128" s="3">
        <f>SUM(B129:B131)</f>
        <v>0</v>
      </c>
      <c r="C128" s="3">
        <f t="shared" ref="C128:F128" si="19">SUM(C129:C131)</f>
        <v>0</v>
      </c>
      <c r="D128" s="3">
        <f t="shared" si="19"/>
        <v>0</v>
      </c>
      <c r="E128" s="3">
        <f t="shared" si="19"/>
        <v>0</v>
      </c>
      <c r="F128" s="3">
        <f t="shared" si="19"/>
        <v>0</v>
      </c>
      <c r="G128" s="3">
        <f t="shared" si="14"/>
        <v>0</v>
      </c>
    </row>
    <row r="129" spans="1:7">
      <c r="A129" s="5" t="s">
        <v>58</v>
      </c>
      <c r="B129" s="6"/>
      <c r="C129" s="6"/>
      <c r="D129" s="6"/>
      <c r="E129" s="6"/>
      <c r="F129" s="6"/>
      <c r="G129" s="6">
        <f t="shared" si="14"/>
        <v>0</v>
      </c>
    </row>
    <row r="130" spans="1:7">
      <c r="A130" s="5" t="s">
        <v>59</v>
      </c>
      <c r="B130" s="6"/>
      <c r="C130" s="6"/>
      <c r="D130" s="6"/>
      <c r="E130" s="6"/>
      <c r="F130" s="6"/>
      <c r="G130" s="6">
        <f t="shared" si="14"/>
        <v>0</v>
      </c>
    </row>
    <row r="131" spans="1:7">
      <c r="A131" s="5" t="s">
        <v>60</v>
      </c>
      <c r="B131" s="6"/>
      <c r="C131" s="6"/>
      <c r="D131" s="6"/>
      <c r="E131" s="6"/>
      <c r="F131" s="6"/>
      <c r="G131" s="6">
        <f t="shared" si="14"/>
        <v>0</v>
      </c>
    </row>
    <row r="132" spans="1:7">
      <c r="A132" s="4" t="s">
        <v>61</v>
      </c>
      <c r="B132" s="3">
        <f>SUM(B133:B140)</f>
        <v>0</v>
      </c>
      <c r="C132" s="3">
        <f t="shared" ref="C132:F132" si="20">SUM(C133:C140)</f>
        <v>0</v>
      </c>
      <c r="D132" s="3">
        <f t="shared" si="20"/>
        <v>0</v>
      </c>
      <c r="E132" s="3">
        <f t="shared" si="20"/>
        <v>0</v>
      </c>
      <c r="F132" s="3">
        <f t="shared" si="20"/>
        <v>0</v>
      </c>
      <c r="G132" s="3">
        <f t="shared" si="14"/>
        <v>0</v>
      </c>
    </row>
    <row r="133" spans="1:7">
      <c r="A133" s="5" t="s">
        <v>62</v>
      </c>
      <c r="B133" s="6"/>
      <c r="C133" s="6"/>
      <c r="D133" s="6"/>
      <c r="E133" s="6"/>
      <c r="F133" s="6"/>
      <c r="G133" s="6">
        <f t="shared" si="14"/>
        <v>0</v>
      </c>
    </row>
    <row r="134" spans="1:7">
      <c r="A134" s="5" t="s">
        <v>63</v>
      </c>
      <c r="B134" s="6"/>
      <c r="C134" s="6"/>
      <c r="D134" s="6"/>
      <c r="E134" s="6"/>
      <c r="F134" s="6"/>
      <c r="G134" s="6">
        <f t="shared" si="14"/>
        <v>0</v>
      </c>
    </row>
    <row r="135" spans="1:7">
      <c r="A135" s="5" t="s">
        <v>64</v>
      </c>
      <c r="B135" s="6"/>
      <c r="C135" s="6"/>
      <c r="D135" s="6"/>
      <c r="E135" s="6"/>
      <c r="F135" s="6"/>
      <c r="G135" s="6">
        <f t="shared" si="14"/>
        <v>0</v>
      </c>
    </row>
    <row r="136" spans="1:7">
      <c r="A136" s="5" t="s">
        <v>65</v>
      </c>
      <c r="B136" s="6"/>
      <c r="C136" s="6"/>
      <c r="D136" s="6"/>
      <c r="E136" s="6"/>
      <c r="F136" s="6"/>
      <c r="G136" s="6">
        <f t="shared" si="14"/>
        <v>0</v>
      </c>
    </row>
    <row r="137" spans="1:7">
      <c r="A137" s="5" t="s">
        <v>66</v>
      </c>
      <c r="B137" s="6"/>
      <c r="C137" s="6"/>
      <c r="D137" s="6"/>
      <c r="E137" s="6"/>
      <c r="F137" s="6"/>
      <c r="G137" s="6">
        <f t="shared" si="14"/>
        <v>0</v>
      </c>
    </row>
    <row r="138" spans="1:7">
      <c r="A138" s="5" t="s">
        <v>67</v>
      </c>
      <c r="B138" s="6"/>
      <c r="C138" s="6"/>
      <c r="D138" s="6"/>
      <c r="E138" s="6"/>
      <c r="F138" s="6"/>
      <c r="G138" s="6">
        <f t="shared" si="14"/>
        <v>0</v>
      </c>
    </row>
    <row r="139" spans="1:7">
      <c r="A139" s="5" t="s">
        <v>68</v>
      </c>
      <c r="B139" s="6"/>
      <c r="C139" s="6"/>
      <c r="D139" s="6"/>
      <c r="E139" s="6"/>
      <c r="F139" s="6"/>
      <c r="G139" s="6">
        <f t="shared" si="14"/>
        <v>0</v>
      </c>
    </row>
    <row r="140" spans="1:7">
      <c r="A140" s="5" t="s">
        <v>69</v>
      </c>
      <c r="B140" s="6"/>
      <c r="C140" s="6"/>
      <c r="D140" s="6"/>
      <c r="E140" s="6"/>
      <c r="F140" s="6"/>
      <c r="G140" s="6">
        <f t="shared" si="14"/>
        <v>0</v>
      </c>
    </row>
    <row r="141" spans="1:7">
      <c r="A141" s="4" t="s">
        <v>70</v>
      </c>
      <c r="B141" s="3">
        <f>SUM(B142:B144)</f>
        <v>0</v>
      </c>
      <c r="C141" s="3">
        <f t="shared" ref="C141:F141" si="21">SUM(C142:C144)</f>
        <v>0</v>
      </c>
      <c r="D141" s="3">
        <f t="shared" si="21"/>
        <v>0</v>
      </c>
      <c r="E141" s="3">
        <f t="shared" si="21"/>
        <v>0</v>
      </c>
      <c r="F141" s="3">
        <f t="shared" si="21"/>
        <v>0</v>
      </c>
      <c r="G141" s="3">
        <f t="shared" si="14"/>
        <v>0</v>
      </c>
    </row>
    <row r="142" spans="1:7">
      <c r="A142" s="5" t="s">
        <v>71</v>
      </c>
      <c r="B142" s="6"/>
      <c r="C142" s="6"/>
      <c r="D142" s="6"/>
      <c r="E142" s="6"/>
      <c r="F142" s="6"/>
      <c r="G142" s="6">
        <f t="shared" si="14"/>
        <v>0</v>
      </c>
    </row>
    <row r="143" spans="1:7">
      <c r="A143" s="5" t="s">
        <v>72</v>
      </c>
      <c r="B143" s="6"/>
      <c r="C143" s="6"/>
      <c r="D143" s="6"/>
      <c r="E143" s="6"/>
      <c r="F143" s="6"/>
      <c r="G143" s="6">
        <f t="shared" si="14"/>
        <v>0</v>
      </c>
    </row>
    <row r="144" spans="1:7">
      <c r="A144" s="5" t="s">
        <v>73</v>
      </c>
      <c r="B144" s="6"/>
      <c r="C144" s="6"/>
      <c r="D144" s="6"/>
      <c r="E144" s="6"/>
      <c r="F144" s="6"/>
      <c r="G144" s="6">
        <f t="shared" si="14"/>
        <v>0</v>
      </c>
    </row>
    <row r="145" spans="1:10">
      <c r="A145" s="4" t="s">
        <v>74</v>
      </c>
      <c r="B145" s="3">
        <f>SUM(B146:B152)</f>
        <v>0</v>
      </c>
      <c r="C145" s="3">
        <f t="shared" ref="C145:F145" si="22">SUM(C146:C152)</f>
        <v>0</v>
      </c>
      <c r="D145" s="3">
        <f t="shared" si="22"/>
        <v>0</v>
      </c>
      <c r="E145" s="3">
        <f t="shared" si="22"/>
        <v>0</v>
      </c>
      <c r="F145" s="3">
        <f t="shared" si="22"/>
        <v>0</v>
      </c>
      <c r="G145" s="3">
        <f t="shared" ref="G145:G152" si="23">D145-E145</f>
        <v>0</v>
      </c>
    </row>
    <row r="146" spans="1:10">
      <c r="A146" s="5" t="s">
        <v>75</v>
      </c>
      <c r="B146" s="6"/>
      <c r="C146" s="6"/>
      <c r="D146" s="6"/>
      <c r="E146" s="6"/>
      <c r="F146" s="6"/>
      <c r="G146" s="6">
        <f t="shared" si="23"/>
        <v>0</v>
      </c>
    </row>
    <row r="147" spans="1:10">
      <c r="A147" s="5" t="s">
        <v>76</v>
      </c>
      <c r="B147" s="6"/>
      <c r="C147" s="6"/>
      <c r="D147" s="6"/>
      <c r="E147" s="6"/>
      <c r="F147" s="6"/>
      <c r="G147" s="6">
        <f t="shared" si="23"/>
        <v>0</v>
      </c>
    </row>
    <row r="148" spans="1:10">
      <c r="A148" s="5" t="s">
        <v>77</v>
      </c>
      <c r="B148" s="6"/>
      <c r="C148" s="6"/>
      <c r="D148" s="6"/>
      <c r="E148" s="6"/>
      <c r="F148" s="6"/>
      <c r="G148" s="6">
        <f t="shared" si="23"/>
        <v>0</v>
      </c>
    </row>
    <row r="149" spans="1:10">
      <c r="A149" s="5" t="s">
        <v>78</v>
      </c>
      <c r="B149" s="6"/>
      <c r="C149" s="6"/>
      <c r="D149" s="6"/>
      <c r="E149" s="6"/>
      <c r="F149" s="6"/>
      <c r="G149" s="6">
        <f t="shared" si="23"/>
        <v>0</v>
      </c>
    </row>
    <row r="150" spans="1:10">
      <c r="A150" s="5" t="s">
        <v>79</v>
      </c>
      <c r="B150" s="6"/>
      <c r="C150" s="6"/>
      <c r="D150" s="6"/>
      <c r="E150" s="6"/>
      <c r="F150" s="6"/>
      <c r="G150" s="6">
        <f t="shared" si="23"/>
        <v>0</v>
      </c>
    </row>
    <row r="151" spans="1:10">
      <c r="A151" s="5" t="s">
        <v>80</v>
      </c>
      <c r="B151" s="6"/>
      <c r="C151" s="6"/>
      <c r="D151" s="6"/>
      <c r="E151" s="6"/>
      <c r="F151" s="6"/>
      <c r="G151" s="6">
        <f t="shared" si="23"/>
        <v>0</v>
      </c>
    </row>
    <row r="152" spans="1:10">
      <c r="A152" s="5" t="s">
        <v>81</v>
      </c>
      <c r="B152" s="6"/>
      <c r="C152" s="6"/>
      <c r="D152" s="6"/>
      <c r="E152" s="6"/>
      <c r="F152" s="6"/>
      <c r="G152" s="6">
        <f t="shared" si="23"/>
        <v>0</v>
      </c>
    </row>
    <row r="153" spans="1:10" ht="5.0999999999999996" customHeight="1">
      <c r="A153" s="4"/>
      <c r="B153" s="6"/>
      <c r="C153" s="6"/>
      <c r="D153" s="6"/>
      <c r="E153" s="6"/>
      <c r="F153" s="6"/>
      <c r="G153" s="6"/>
    </row>
    <row r="154" spans="1:10">
      <c r="A154" s="2" t="s">
        <v>83</v>
      </c>
      <c r="B154" s="48">
        <f>B4+B79</f>
        <v>46838700.969999999</v>
      </c>
      <c r="C154" s="48">
        <f>C4+C79</f>
        <v>1062662.5899999999</v>
      </c>
      <c r="D154" s="48">
        <f>D4+D79</f>
        <v>47901363.560000002</v>
      </c>
      <c r="E154" s="48">
        <f t="shared" ref="E154:F154" si="24">E4+E79</f>
        <v>9134706.2899999991</v>
      </c>
      <c r="F154" s="48">
        <f t="shared" si="24"/>
        <v>9126647.3200000003</v>
      </c>
      <c r="G154" s="3">
        <f>G4+G79</f>
        <v>38766657.230000004</v>
      </c>
      <c r="I154" s="46"/>
      <c r="J154" s="46"/>
    </row>
    <row r="155" spans="1:10" ht="5.0999999999999996" customHeight="1">
      <c r="A155" s="7"/>
      <c r="B155" s="8"/>
      <c r="C155" s="8"/>
      <c r="D155" s="8"/>
      <c r="E155" s="8"/>
      <c r="F155" s="8"/>
      <c r="G155" s="8"/>
      <c r="I155" s="46"/>
    </row>
    <row r="156" spans="1:10">
      <c r="I156" s="46"/>
    </row>
    <row r="157" spans="1:10">
      <c r="C157" s="46"/>
    </row>
    <row r="158" spans="1:10">
      <c r="I158" s="46"/>
    </row>
  </sheetData>
  <autoFilter ref="B3:G77"/>
  <mergeCells count="2">
    <mergeCell ref="A1:G1"/>
    <mergeCell ref="B2:F2"/>
  </mergeCells>
  <pageMargins left="0.23622047244094491" right="0.19685039370078741" top="0.39370078740157483" bottom="0.39370078740157483" header="0.31496062992125984" footer="0.31496062992125984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110" zoomScaleNormal="110" workbookViewId="0">
      <selection activeCell="N26" sqref="N26"/>
    </sheetView>
  </sheetViews>
  <sheetFormatPr baseColWidth="10" defaultRowHeight="11.25"/>
  <cols>
    <col min="1" max="1" width="45.83203125" style="9" customWidth="1"/>
    <col min="2" max="7" width="16.83203125" style="9" customWidth="1"/>
    <col min="8" max="8" width="12" style="9"/>
    <col min="9" max="9" width="8.1640625" style="9" bestFit="1" customWidth="1"/>
    <col min="10" max="10" width="28.33203125" style="9" bestFit="1" customWidth="1"/>
    <col min="11" max="11" width="12.6640625" style="9" bestFit="1" customWidth="1"/>
    <col min="12" max="12" width="11.6640625" style="9" bestFit="1" customWidth="1"/>
    <col min="13" max="15" width="12.6640625" style="9" bestFit="1" customWidth="1"/>
    <col min="16" max="16" width="11.6640625" style="9" bestFit="1" customWidth="1"/>
    <col min="17" max="16384" width="12" style="9"/>
  </cols>
  <sheetData>
    <row r="1" spans="1:16" ht="56.1" customHeight="1">
      <c r="A1" s="78" t="s">
        <v>158</v>
      </c>
      <c r="B1" s="79"/>
      <c r="C1" s="79"/>
      <c r="D1" s="79"/>
      <c r="E1" s="79"/>
      <c r="F1" s="79"/>
      <c r="G1" s="80"/>
      <c r="I1" s="34"/>
      <c r="J1" s="28"/>
      <c r="K1" s="29"/>
      <c r="L1" s="29"/>
      <c r="M1" s="29"/>
      <c r="N1" s="29"/>
      <c r="O1" s="29"/>
      <c r="P1" s="29"/>
    </row>
    <row r="2" spans="1:16">
      <c r="A2" s="40"/>
      <c r="B2" s="81" t="s">
        <v>0</v>
      </c>
      <c r="C2" s="81"/>
      <c r="D2" s="81"/>
      <c r="E2" s="81"/>
      <c r="F2" s="81"/>
      <c r="G2" s="40"/>
      <c r="I2" s="30"/>
      <c r="J2" s="31"/>
      <c r="K2" s="29"/>
      <c r="L2" s="29"/>
      <c r="M2" s="29"/>
      <c r="N2" s="29"/>
      <c r="O2" s="29"/>
      <c r="P2" s="29"/>
    </row>
    <row r="3" spans="1:16" ht="22.5">
      <c r="A3" s="41" t="s">
        <v>1</v>
      </c>
      <c r="B3" s="45" t="s">
        <v>2</v>
      </c>
      <c r="C3" s="45" t="s">
        <v>84</v>
      </c>
      <c r="D3" s="45" t="s">
        <v>85</v>
      </c>
      <c r="E3" s="45" t="s">
        <v>5</v>
      </c>
      <c r="F3" s="45" t="s">
        <v>86</v>
      </c>
      <c r="G3" s="41" t="s">
        <v>87</v>
      </c>
      <c r="I3" s="30"/>
      <c r="J3" s="31"/>
      <c r="K3" s="29"/>
      <c r="L3" s="29"/>
      <c r="M3" s="29"/>
      <c r="N3" s="29"/>
      <c r="O3" s="29"/>
      <c r="P3" s="29"/>
    </row>
    <row r="4" spans="1:16">
      <c r="A4" s="10" t="s">
        <v>88</v>
      </c>
      <c r="B4" s="11"/>
      <c r="C4" s="11"/>
      <c r="D4" s="11"/>
      <c r="E4" s="11"/>
      <c r="F4" s="11"/>
      <c r="G4" s="11"/>
      <c r="I4" s="30"/>
      <c r="J4" s="31"/>
      <c r="K4" s="29"/>
      <c r="L4" s="29"/>
      <c r="M4" s="29"/>
      <c r="N4" s="29"/>
      <c r="O4" s="29"/>
      <c r="P4" s="29"/>
    </row>
    <row r="5" spans="1:16">
      <c r="A5" s="12" t="s">
        <v>89</v>
      </c>
      <c r="B5" s="3">
        <f t="shared" ref="B5:G5" si="0">SUM(B6:B22)</f>
        <v>46211999.999999985</v>
      </c>
      <c r="C5" s="3">
        <f t="shared" si="0"/>
        <v>968330.7</v>
      </c>
      <c r="D5" s="3">
        <f t="shared" si="0"/>
        <v>47180330.699999988</v>
      </c>
      <c r="E5" s="3">
        <f t="shared" si="0"/>
        <v>9100178.790000001</v>
      </c>
      <c r="F5" s="3">
        <f t="shared" si="0"/>
        <v>9092119.8200000003</v>
      </c>
      <c r="G5" s="3">
        <f t="shared" si="0"/>
        <v>38080151.910000004</v>
      </c>
      <c r="I5" s="30"/>
      <c r="J5" s="31"/>
      <c r="K5" s="29"/>
      <c r="L5" s="29"/>
      <c r="M5" s="29"/>
      <c r="N5" s="29"/>
      <c r="O5" s="29"/>
      <c r="P5" s="29"/>
    </row>
    <row r="6" spans="1:16">
      <c r="A6" s="67" t="s">
        <v>141</v>
      </c>
      <c r="B6" s="6">
        <v>3074439.71</v>
      </c>
      <c r="C6" s="6">
        <v>101575</v>
      </c>
      <c r="D6" s="29">
        <v>3176014.71</v>
      </c>
      <c r="E6" s="6">
        <v>695758.31</v>
      </c>
      <c r="F6" s="29">
        <v>695615.8</v>
      </c>
      <c r="G6" s="6">
        <v>2480256.4</v>
      </c>
      <c r="I6" s="30"/>
      <c r="J6" s="31"/>
      <c r="K6" s="29"/>
      <c r="L6" s="29"/>
      <c r="M6" s="29"/>
      <c r="N6" s="29"/>
      <c r="O6" s="29"/>
      <c r="P6" s="29"/>
    </row>
    <row r="7" spans="1:16">
      <c r="A7" s="67" t="s">
        <v>142</v>
      </c>
      <c r="B7" s="6">
        <v>2858428.39</v>
      </c>
      <c r="C7" s="6">
        <v>280458</v>
      </c>
      <c r="D7" s="29">
        <v>3138886.39</v>
      </c>
      <c r="E7" s="6">
        <v>172443.82</v>
      </c>
      <c r="F7" s="29">
        <v>172443.82</v>
      </c>
      <c r="G7" s="6">
        <v>2966442.57</v>
      </c>
      <c r="I7" s="30"/>
      <c r="J7" s="31"/>
      <c r="K7" s="29"/>
      <c r="L7" s="29"/>
      <c r="M7" s="29"/>
      <c r="N7" s="29"/>
      <c r="O7" s="29"/>
      <c r="P7" s="29"/>
    </row>
    <row r="8" spans="1:16">
      <c r="A8" s="67" t="s">
        <v>143</v>
      </c>
      <c r="B8" s="6">
        <f>1524799.54-B27</f>
        <v>1341658.54</v>
      </c>
      <c r="C8" s="6">
        <f>79515.85-C27</f>
        <v>7200</v>
      </c>
      <c r="D8" s="29">
        <f>1604315.39-D27</f>
        <v>1348858.5399999998</v>
      </c>
      <c r="E8" s="6">
        <f>295218.19-E27</f>
        <v>282778.69</v>
      </c>
      <c r="F8" s="29">
        <f>294249.19-F27</f>
        <v>281809.69</v>
      </c>
      <c r="G8" s="6">
        <f>1309097.2-G27</f>
        <v>1066079.8499999999</v>
      </c>
      <c r="I8" s="30"/>
      <c r="J8" s="31"/>
      <c r="K8" s="29"/>
      <c r="L8" s="29"/>
      <c r="M8" s="29"/>
      <c r="N8" s="29"/>
      <c r="O8" s="29"/>
      <c r="P8" s="29"/>
    </row>
    <row r="9" spans="1:16">
      <c r="A9" s="67" t="s">
        <v>144</v>
      </c>
      <c r="B9" s="6">
        <f>7226147.29-B28</f>
        <v>6942587.29</v>
      </c>
      <c r="C9" s="70">
        <f>-23024+16080</f>
        <v>-6944</v>
      </c>
      <c r="D9" s="61">
        <f>7203123.29-D28</f>
        <v>6935643.29</v>
      </c>
      <c r="E9" s="60">
        <f>1317175.26-E28</f>
        <v>1315087.26</v>
      </c>
      <c r="F9" s="61">
        <f>1314875.59-F28</f>
        <v>1312787.5900000001</v>
      </c>
      <c r="G9" s="61">
        <f>5885948.03-G28</f>
        <v>5620556.0300000003</v>
      </c>
      <c r="I9" s="30"/>
      <c r="J9" s="31"/>
      <c r="K9" s="29"/>
      <c r="L9" s="29"/>
      <c r="M9" s="29"/>
      <c r="N9" s="29"/>
      <c r="O9" s="29"/>
      <c r="P9" s="29"/>
    </row>
    <row r="10" spans="1:16">
      <c r="A10" s="67" t="s">
        <v>145</v>
      </c>
      <c r="B10" s="6">
        <v>3845552.08</v>
      </c>
      <c r="C10" s="6">
        <v>8000</v>
      </c>
      <c r="D10" s="29">
        <v>3853552.08</v>
      </c>
      <c r="E10" s="6">
        <v>774465.27</v>
      </c>
      <c r="F10" s="29">
        <v>765901.92</v>
      </c>
      <c r="G10" s="6">
        <v>3079086.81</v>
      </c>
      <c r="I10" s="30"/>
      <c r="J10" s="31"/>
      <c r="K10" s="29"/>
      <c r="L10" s="29"/>
      <c r="M10" s="29"/>
      <c r="N10" s="29"/>
      <c r="O10" s="29"/>
      <c r="P10" s="29"/>
    </row>
    <row r="11" spans="1:16">
      <c r="A11" s="67" t="s">
        <v>146</v>
      </c>
      <c r="B11" s="6">
        <v>3661214.61</v>
      </c>
      <c r="C11" s="6">
        <v>3744</v>
      </c>
      <c r="D11" s="29">
        <v>3664958.61</v>
      </c>
      <c r="E11" s="6">
        <v>853441.62</v>
      </c>
      <c r="F11" s="29">
        <v>846694.43</v>
      </c>
      <c r="G11" s="6">
        <v>2811516.99</v>
      </c>
      <c r="I11" s="30"/>
      <c r="J11" s="31"/>
      <c r="K11" s="29"/>
      <c r="L11" s="29"/>
      <c r="M11" s="29"/>
      <c r="N11" s="29"/>
      <c r="O11" s="29"/>
      <c r="P11" s="29"/>
    </row>
    <row r="12" spans="1:16" ht="12.75" customHeight="1">
      <c r="A12" s="67" t="s">
        <v>147</v>
      </c>
      <c r="B12" s="6">
        <v>2241471.62</v>
      </c>
      <c r="C12" s="6">
        <f>78096-C31</f>
        <v>0</v>
      </c>
      <c r="D12" s="64">
        <f>2319567.62-D31</f>
        <v>2241471.62</v>
      </c>
      <c r="E12" s="64">
        <v>503096.82</v>
      </c>
      <c r="F12" s="64">
        <v>501616.85</v>
      </c>
      <c r="G12" s="64">
        <f>1816470.8-G31</f>
        <v>1738374.8</v>
      </c>
      <c r="I12" s="30"/>
      <c r="J12" s="31"/>
      <c r="K12" s="29"/>
      <c r="L12" s="29"/>
      <c r="M12" s="29"/>
      <c r="N12" s="29"/>
      <c r="O12" s="29"/>
      <c r="P12" s="29"/>
    </row>
    <row r="13" spans="1:16" ht="12.75" customHeight="1">
      <c r="A13" s="67" t="s">
        <v>148</v>
      </c>
      <c r="B13" s="6">
        <f>2841144.41-B32</f>
        <v>2681144.4500000002</v>
      </c>
      <c r="C13" s="6"/>
      <c r="D13" s="29">
        <f>2801144.45-D32</f>
        <v>2681144.4500000002</v>
      </c>
      <c r="E13" s="6">
        <f>509883.6-E32</f>
        <v>489883.6</v>
      </c>
      <c r="F13" s="29">
        <f>533325.1-F32</f>
        <v>513325.1</v>
      </c>
      <c r="G13" s="6">
        <f>2291260.85-G32</f>
        <v>2191260.85</v>
      </c>
      <c r="I13" s="30"/>
      <c r="J13" s="31"/>
      <c r="K13" s="29"/>
      <c r="L13" s="29"/>
      <c r="M13" s="29"/>
      <c r="N13" s="29"/>
      <c r="O13" s="29"/>
      <c r="P13" s="29"/>
    </row>
    <row r="14" spans="1:16" ht="12.75" customHeight="1">
      <c r="A14" s="67" t="s">
        <v>149</v>
      </c>
      <c r="B14" s="6">
        <v>2422870.9700000002</v>
      </c>
      <c r="C14" s="6">
        <v>1244788.7</v>
      </c>
      <c r="D14" s="29">
        <v>3667659.67</v>
      </c>
      <c r="E14" s="6">
        <f>462386.92</f>
        <v>462386.92</v>
      </c>
      <c r="F14" s="29">
        <v>456081.14</v>
      </c>
      <c r="G14" s="6">
        <v>3205272.75</v>
      </c>
      <c r="I14" s="30"/>
      <c r="J14" s="31"/>
      <c r="K14" s="29"/>
      <c r="L14" s="29"/>
      <c r="M14" s="29"/>
      <c r="N14" s="29"/>
      <c r="O14" s="29"/>
      <c r="P14" s="29"/>
    </row>
    <row r="15" spans="1:16" ht="13.5" customHeight="1">
      <c r="A15" s="67" t="s">
        <v>150</v>
      </c>
      <c r="B15" s="6">
        <v>3168138.72</v>
      </c>
      <c r="C15" s="6">
        <v>-37442</v>
      </c>
      <c r="D15" s="29">
        <v>3130696.72</v>
      </c>
      <c r="E15" s="6">
        <v>678316.87</v>
      </c>
      <c r="F15" s="29">
        <v>678316.87</v>
      </c>
      <c r="G15" s="6">
        <v>2452379.85</v>
      </c>
      <c r="I15" s="30"/>
      <c r="J15" s="31"/>
      <c r="K15" s="29"/>
      <c r="L15" s="29"/>
      <c r="M15" s="29"/>
      <c r="N15" s="29"/>
      <c r="O15" s="29"/>
      <c r="P15" s="29"/>
    </row>
    <row r="16" spans="1:16" ht="12" customHeight="1">
      <c r="A16" s="67" t="s">
        <v>151</v>
      </c>
      <c r="B16" s="6">
        <v>1596431.55</v>
      </c>
      <c r="C16" s="6">
        <v>-395100</v>
      </c>
      <c r="D16" s="29">
        <v>1201331.55</v>
      </c>
      <c r="E16" s="6">
        <v>326590.28000000003</v>
      </c>
      <c r="F16" s="29">
        <v>323342.28000000003</v>
      </c>
      <c r="G16" s="6">
        <v>874741.27</v>
      </c>
      <c r="I16" s="30"/>
      <c r="J16" s="31"/>
      <c r="K16" s="29"/>
      <c r="L16" s="29"/>
      <c r="M16" s="29"/>
      <c r="N16" s="29"/>
      <c r="O16" s="29"/>
      <c r="P16" s="29"/>
    </row>
    <row r="17" spans="1:16" ht="14.25" customHeight="1">
      <c r="A17" s="67" t="s">
        <v>152</v>
      </c>
      <c r="B17" s="6">
        <v>8215746.5599999996</v>
      </c>
      <c r="C17" s="6">
        <v>-237949</v>
      </c>
      <c r="D17" s="29">
        <v>7977797.5599999996</v>
      </c>
      <c r="E17" s="6">
        <v>1736215.3</v>
      </c>
      <c r="F17" s="29">
        <v>1734470.3</v>
      </c>
      <c r="G17" s="6">
        <v>6241582.2599999998</v>
      </c>
      <c r="I17" s="30"/>
      <c r="J17" s="31"/>
      <c r="K17" s="29"/>
      <c r="L17" s="29"/>
      <c r="M17" s="29"/>
      <c r="N17" s="29"/>
      <c r="O17" s="29"/>
      <c r="P17" s="29"/>
    </row>
    <row r="18" spans="1:16" ht="13.5" customHeight="1">
      <c r="A18" s="67" t="s">
        <v>153</v>
      </c>
      <c r="B18" s="6">
        <v>1443424.41</v>
      </c>
      <c r="C18" s="6" t="s">
        <v>162</v>
      </c>
      <c r="D18" s="29">
        <v>1443424.41</v>
      </c>
      <c r="E18" s="6">
        <v>269945.46000000002</v>
      </c>
      <c r="F18" s="29">
        <v>269945.46000000002</v>
      </c>
      <c r="G18" s="6">
        <v>1173478.95</v>
      </c>
      <c r="I18" s="30"/>
      <c r="J18" s="31"/>
      <c r="K18" s="29"/>
      <c r="L18" s="29"/>
      <c r="M18" s="29"/>
      <c r="N18" s="29"/>
      <c r="O18" s="29"/>
      <c r="P18" s="29"/>
    </row>
    <row r="19" spans="1:16" ht="11.25" customHeight="1">
      <c r="A19" s="67" t="s">
        <v>154</v>
      </c>
      <c r="B19" s="6">
        <v>526961.25</v>
      </c>
      <c r="C19" s="6" t="s">
        <v>162</v>
      </c>
      <c r="D19" s="29">
        <v>526961.25</v>
      </c>
      <c r="E19" s="6">
        <v>108985.71</v>
      </c>
      <c r="F19" s="29">
        <v>108985.71</v>
      </c>
      <c r="G19" s="6">
        <v>417975.54</v>
      </c>
      <c r="I19" s="30"/>
      <c r="J19" s="31"/>
      <c r="K19" s="29"/>
      <c r="L19" s="29"/>
      <c r="M19" s="29"/>
      <c r="N19" s="29"/>
      <c r="O19" s="29"/>
      <c r="P19" s="29"/>
    </row>
    <row r="20" spans="1:16" ht="13.5" customHeight="1">
      <c r="A20" s="67" t="s">
        <v>155</v>
      </c>
      <c r="B20" s="6">
        <v>1216943.73</v>
      </c>
      <c r="C20" s="6" t="s">
        <v>162</v>
      </c>
      <c r="D20" s="29">
        <v>1216943.73</v>
      </c>
      <c r="E20" s="6">
        <v>281606.17</v>
      </c>
      <c r="F20" s="29">
        <v>281606.17</v>
      </c>
      <c r="G20" s="6">
        <v>935337.56</v>
      </c>
      <c r="I20" s="30"/>
      <c r="J20" s="31"/>
      <c r="K20" s="29"/>
      <c r="L20" s="29"/>
      <c r="M20" s="29"/>
      <c r="N20" s="29"/>
      <c r="O20" s="29"/>
      <c r="P20" s="29"/>
    </row>
    <row r="21" spans="1:16" ht="12" customHeight="1">
      <c r="A21" s="62" t="s">
        <v>156</v>
      </c>
      <c r="B21" s="32">
        <v>721579.15</v>
      </c>
      <c r="C21" s="6" t="s">
        <v>162</v>
      </c>
      <c r="D21" s="33">
        <v>721579.15</v>
      </c>
      <c r="E21" s="6">
        <v>147400.49</v>
      </c>
      <c r="F21" s="33">
        <v>147400.49</v>
      </c>
      <c r="G21" s="32">
        <v>574178.66</v>
      </c>
      <c r="I21" s="30"/>
      <c r="J21" s="31"/>
      <c r="K21" s="29"/>
      <c r="L21" s="29"/>
      <c r="M21" s="29"/>
      <c r="N21" s="29"/>
      <c r="O21" s="29"/>
      <c r="P21" s="29"/>
    </row>
    <row r="22" spans="1:16" ht="12" customHeight="1">
      <c r="A22" s="66" t="s">
        <v>161</v>
      </c>
      <c r="B22" s="6">
        <v>253406.97</v>
      </c>
      <c r="C22" s="6" t="s">
        <v>162</v>
      </c>
      <c r="D22" s="6">
        <v>253406.97</v>
      </c>
      <c r="E22" s="6">
        <v>1776.2</v>
      </c>
      <c r="F22" s="6">
        <v>1776.2</v>
      </c>
      <c r="G22" s="6">
        <v>251630.77</v>
      </c>
      <c r="I22" s="30"/>
      <c r="J22" s="31"/>
      <c r="K22" s="29"/>
      <c r="L22" s="29"/>
      <c r="M22" s="29"/>
      <c r="N22" s="29"/>
      <c r="O22" s="29"/>
      <c r="P22" s="29"/>
    </row>
    <row r="23" spans="1:16">
      <c r="A23" s="13" t="s">
        <v>90</v>
      </c>
      <c r="B23" s="6"/>
      <c r="C23" s="6"/>
      <c r="D23" s="6"/>
      <c r="E23" s="6"/>
      <c r="F23" s="6"/>
      <c r="G23" s="6"/>
      <c r="I23" s="30"/>
      <c r="J23" s="31"/>
      <c r="K23" s="29"/>
      <c r="L23" s="29"/>
      <c r="M23" s="29"/>
      <c r="N23" s="29"/>
      <c r="O23" s="29"/>
      <c r="P23" s="29"/>
    </row>
    <row r="24" spans="1:16">
      <c r="A24" s="13" t="s">
        <v>91</v>
      </c>
      <c r="B24" s="3">
        <f t="shared" ref="B24:G24" si="1">SUM(B25:B41)</f>
        <v>626700.96</v>
      </c>
      <c r="C24" s="3">
        <f t="shared" si="1"/>
        <v>94331.890000000014</v>
      </c>
      <c r="D24" s="3">
        <f t="shared" si="1"/>
        <v>721032.85</v>
      </c>
      <c r="E24" s="3">
        <f t="shared" si="1"/>
        <v>34527.5</v>
      </c>
      <c r="F24" s="3">
        <f t="shared" si="1"/>
        <v>34527.5</v>
      </c>
      <c r="G24" s="3">
        <f t="shared" si="1"/>
        <v>686505.35</v>
      </c>
      <c r="I24" s="30"/>
      <c r="J24" s="31"/>
      <c r="K24" s="29"/>
      <c r="L24" s="29"/>
      <c r="M24" s="29"/>
      <c r="N24" s="29"/>
      <c r="O24" s="29"/>
      <c r="P24" s="29"/>
    </row>
    <row r="25" spans="1:16">
      <c r="A25" s="67" t="s">
        <v>141</v>
      </c>
      <c r="B25" s="6"/>
      <c r="C25" s="6"/>
      <c r="D25" s="6"/>
      <c r="E25" s="6"/>
      <c r="F25" s="6"/>
      <c r="G25" s="6">
        <f t="shared" ref="G25:G32" si="2">D25-E25</f>
        <v>0</v>
      </c>
      <c r="I25" s="30"/>
      <c r="J25" s="31"/>
      <c r="K25" s="29"/>
      <c r="L25" s="29"/>
      <c r="M25" s="29"/>
      <c r="N25" s="29"/>
      <c r="O25" s="29"/>
      <c r="P25" s="29"/>
    </row>
    <row r="26" spans="1:16">
      <c r="A26" s="67" t="s">
        <v>142</v>
      </c>
      <c r="B26" s="6"/>
      <c r="C26" s="6"/>
      <c r="D26" s="6"/>
      <c r="E26" s="6"/>
      <c r="F26" s="6"/>
      <c r="G26" s="6">
        <f t="shared" si="2"/>
        <v>0</v>
      </c>
      <c r="I26" s="30"/>
      <c r="J26" s="31"/>
      <c r="K26" s="29"/>
      <c r="L26" s="29"/>
      <c r="M26" s="29"/>
      <c r="N26" s="29"/>
      <c r="O26" s="29"/>
      <c r="P26" s="29"/>
    </row>
    <row r="27" spans="1:16">
      <c r="A27" s="67" t="s">
        <v>143</v>
      </c>
      <c r="B27" s="6">
        <v>183141</v>
      </c>
      <c r="C27" s="6">
        <v>72315.850000000006</v>
      </c>
      <c r="D27" s="6">
        <v>255456.85</v>
      </c>
      <c r="E27" s="6">
        <v>12439.5</v>
      </c>
      <c r="F27" s="6">
        <v>12439.5</v>
      </c>
      <c r="G27" s="6">
        <f t="shared" si="2"/>
        <v>243017.35</v>
      </c>
      <c r="I27" s="30"/>
      <c r="J27" s="31"/>
      <c r="K27" s="29"/>
      <c r="L27" s="29"/>
      <c r="M27" s="29"/>
      <c r="N27" s="29"/>
      <c r="O27" s="29"/>
      <c r="P27" s="29"/>
    </row>
    <row r="28" spans="1:16">
      <c r="A28" s="67" t="s">
        <v>144</v>
      </c>
      <c r="B28" s="6">
        <v>283560</v>
      </c>
      <c r="C28" s="6">
        <v>-16080</v>
      </c>
      <c r="D28" s="6">
        <v>267480</v>
      </c>
      <c r="E28" s="6">
        <v>2088</v>
      </c>
      <c r="F28" s="6">
        <v>2088</v>
      </c>
      <c r="G28" s="6">
        <f t="shared" si="2"/>
        <v>265392</v>
      </c>
      <c r="I28" s="30"/>
      <c r="J28" s="31"/>
      <c r="K28" s="29"/>
      <c r="L28" s="29"/>
      <c r="M28" s="29"/>
      <c r="N28" s="29"/>
      <c r="O28" s="29"/>
      <c r="P28" s="29"/>
    </row>
    <row r="29" spans="1:16">
      <c r="A29" s="67" t="s">
        <v>145</v>
      </c>
      <c r="B29" s="6"/>
      <c r="C29" s="6"/>
      <c r="D29" s="6"/>
      <c r="E29" s="6"/>
      <c r="F29" s="6"/>
      <c r="G29" s="6">
        <f t="shared" si="2"/>
        <v>0</v>
      </c>
      <c r="I29" s="30"/>
      <c r="J29" s="31"/>
      <c r="K29" s="29"/>
      <c r="L29" s="29"/>
      <c r="M29" s="29"/>
      <c r="N29" s="29"/>
      <c r="O29" s="29"/>
      <c r="P29" s="29"/>
    </row>
    <row r="30" spans="1:16">
      <c r="A30" s="67" t="s">
        <v>146</v>
      </c>
      <c r="B30" s="6"/>
      <c r="C30" s="6"/>
      <c r="D30" s="6"/>
      <c r="E30" s="6"/>
      <c r="F30" s="6"/>
      <c r="G30" s="6">
        <f t="shared" si="2"/>
        <v>0</v>
      </c>
      <c r="I30" s="30"/>
      <c r="J30" s="31"/>
      <c r="K30" s="29"/>
      <c r="L30" s="29"/>
      <c r="M30" s="29"/>
      <c r="N30" s="29"/>
      <c r="O30" s="29"/>
      <c r="P30" s="29"/>
    </row>
    <row r="31" spans="1:16">
      <c r="A31" s="67" t="s">
        <v>147</v>
      </c>
      <c r="B31" s="6"/>
      <c r="C31" s="6">
        <v>78096</v>
      </c>
      <c r="D31" s="6">
        <v>78096</v>
      </c>
      <c r="E31" s="6"/>
      <c r="F31" s="6"/>
      <c r="G31" s="6">
        <f t="shared" si="2"/>
        <v>78096</v>
      </c>
      <c r="I31" s="30"/>
      <c r="J31" s="31"/>
      <c r="K31" s="29"/>
      <c r="L31" s="29"/>
      <c r="M31" s="29"/>
      <c r="N31" s="29"/>
      <c r="O31" s="29"/>
      <c r="P31" s="29"/>
    </row>
    <row r="32" spans="1:16" ht="10.5" customHeight="1">
      <c r="A32" s="67" t="s">
        <v>148</v>
      </c>
      <c r="B32" s="6">
        <v>159999.96</v>
      </c>
      <c r="C32" s="6">
        <v>-39999.96</v>
      </c>
      <c r="D32" s="6">
        <v>120000</v>
      </c>
      <c r="E32" s="6">
        <v>20000</v>
      </c>
      <c r="F32" s="6">
        <v>20000</v>
      </c>
      <c r="G32" s="6">
        <f t="shared" si="2"/>
        <v>100000</v>
      </c>
      <c r="I32" s="35"/>
      <c r="J32" s="35"/>
      <c r="K32" s="35"/>
      <c r="L32" s="35"/>
      <c r="M32" s="35"/>
      <c r="N32" s="35"/>
      <c r="O32" s="35"/>
      <c r="P32" s="35"/>
    </row>
    <row r="33" spans="1:16" ht="10.5" customHeight="1">
      <c r="A33" s="67" t="s">
        <v>149</v>
      </c>
      <c r="B33" s="6"/>
      <c r="C33" s="6"/>
      <c r="D33" s="6"/>
      <c r="E33" s="6"/>
      <c r="F33" s="6"/>
      <c r="G33" s="6"/>
      <c r="I33" s="35"/>
      <c r="J33" s="35"/>
      <c r="K33" s="35"/>
      <c r="L33" s="35"/>
      <c r="M33" s="35"/>
      <c r="N33" s="35"/>
      <c r="O33" s="35"/>
      <c r="P33" s="35"/>
    </row>
    <row r="34" spans="1:16" ht="10.5" customHeight="1">
      <c r="A34" s="67" t="s">
        <v>150</v>
      </c>
      <c r="B34" s="6"/>
      <c r="C34" s="6"/>
      <c r="D34" s="6"/>
      <c r="E34" s="6"/>
      <c r="F34" s="6"/>
      <c r="G34" s="6"/>
      <c r="I34" s="35"/>
      <c r="J34" s="35"/>
      <c r="K34" s="35"/>
      <c r="L34" s="35"/>
      <c r="M34" s="35"/>
      <c r="N34" s="35"/>
      <c r="O34" s="35"/>
      <c r="P34" s="35"/>
    </row>
    <row r="35" spans="1:16" ht="10.5" customHeight="1">
      <c r="A35" s="67" t="s">
        <v>151</v>
      </c>
      <c r="B35" s="6"/>
      <c r="C35" s="6"/>
      <c r="D35" s="6"/>
      <c r="E35" s="6"/>
      <c r="F35" s="6"/>
      <c r="G35" s="6"/>
      <c r="I35" s="35"/>
      <c r="J35" s="35"/>
      <c r="K35" s="35"/>
      <c r="L35" s="35"/>
      <c r="M35" s="35"/>
      <c r="N35" s="35"/>
      <c r="O35" s="35"/>
      <c r="P35" s="35"/>
    </row>
    <row r="36" spans="1:16" ht="10.5" customHeight="1">
      <c r="A36" s="67" t="s">
        <v>152</v>
      </c>
      <c r="B36" s="6"/>
      <c r="C36" s="6"/>
      <c r="D36" s="6"/>
      <c r="E36" s="6"/>
      <c r="F36" s="6"/>
      <c r="G36" s="6"/>
      <c r="I36" s="35"/>
      <c r="J36" s="35"/>
      <c r="K36" s="35"/>
      <c r="L36" s="35"/>
      <c r="M36" s="35"/>
      <c r="N36" s="35"/>
      <c r="O36" s="35"/>
      <c r="P36" s="35"/>
    </row>
    <row r="37" spans="1:16" ht="10.5" customHeight="1">
      <c r="A37" s="67" t="s">
        <v>153</v>
      </c>
      <c r="B37" s="6"/>
      <c r="C37" s="6"/>
      <c r="D37" s="6"/>
      <c r="E37" s="6"/>
      <c r="F37" s="6"/>
      <c r="G37" s="6"/>
      <c r="I37" s="35"/>
      <c r="J37" s="35"/>
      <c r="K37" s="35"/>
      <c r="L37" s="35"/>
      <c r="M37" s="35"/>
      <c r="N37" s="35"/>
      <c r="O37" s="35"/>
      <c r="P37" s="35"/>
    </row>
    <row r="38" spans="1:16" ht="10.5" customHeight="1">
      <c r="A38" s="67" t="s">
        <v>154</v>
      </c>
      <c r="B38" s="6"/>
      <c r="C38" s="6"/>
      <c r="D38" s="6"/>
      <c r="E38" s="6"/>
      <c r="F38" s="6"/>
      <c r="G38" s="6"/>
      <c r="I38" s="35"/>
      <c r="J38" s="35"/>
      <c r="K38" s="35"/>
      <c r="L38" s="35"/>
      <c r="M38" s="35"/>
      <c r="N38" s="35"/>
      <c r="O38" s="35"/>
      <c r="P38" s="35"/>
    </row>
    <row r="39" spans="1:16" ht="10.5" customHeight="1">
      <c r="A39" s="67" t="s">
        <v>155</v>
      </c>
      <c r="B39" s="6"/>
      <c r="C39" s="6"/>
      <c r="D39" s="6"/>
      <c r="E39" s="6"/>
      <c r="F39" s="6"/>
      <c r="G39" s="6"/>
      <c r="I39" s="35"/>
      <c r="J39" s="35"/>
      <c r="K39" s="35"/>
      <c r="L39" s="35"/>
      <c r="M39" s="35"/>
      <c r="N39" s="35"/>
      <c r="O39" s="35"/>
      <c r="P39" s="35"/>
    </row>
    <row r="40" spans="1:16" ht="10.5" customHeight="1">
      <c r="A40" s="62" t="s">
        <v>156</v>
      </c>
      <c r="B40" s="6"/>
      <c r="C40" s="6"/>
      <c r="D40" s="6"/>
      <c r="E40" s="6"/>
      <c r="F40" s="6"/>
      <c r="G40" s="6"/>
      <c r="I40" s="35"/>
      <c r="J40" s="35"/>
      <c r="K40" s="35"/>
      <c r="L40" s="35"/>
      <c r="M40" s="35"/>
      <c r="N40" s="35"/>
      <c r="O40" s="35"/>
      <c r="P40" s="35"/>
    </row>
    <row r="41" spans="1:16" ht="10.5" customHeight="1">
      <c r="A41" s="66" t="s">
        <v>161</v>
      </c>
      <c r="B41" s="6"/>
      <c r="C41" s="6"/>
      <c r="D41" s="6"/>
      <c r="E41" s="6"/>
      <c r="F41" s="6"/>
      <c r="G41" s="6"/>
      <c r="I41" s="35"/>
      <c r="J41" s="35"/>
      <c r="K41" s="35"/>
      <c r="L41" s="35"/>
      <c r="M41" s="35"/>
      <c r="N41" s="35"/>
      <c r="O41" s="35"/>
      <c r="P41" s="35"/>
    </row>
    <row r="42" spans="1:16" ht="10.5" customHeight="1">
      <c r="A42" s="14"/>
      <c r="B42" s="6"/>
      <c r="C42" s="6"/>
      <c r="D42" s="6"/>
      <c r="E42" s="6"/>
      <c r="F42" s="6"/>
      <c r="G42" s="6"/>
      <c r="I42" s="35"/>
      <c r="J42" s="35"/>
      <c r="K42" s="35"/>
      <c r="L42" s="35"/>
      <c r="M42" s="35"/>
      <c r="N42" s="35"/>
      <c r="O42" s="35"/>
      <c r="P42" s="35"/>
    </row>
    <row r="43" spans="1:16" ht="10.5" customHeight="1">
      <c r="A43" s="12" t="s">
        <v>83</v>
      </c>
      <c r="B43" s="3">
        <f t="shared" ref="B43:G43" si="3">B5+B24</f>
        <v>46838700.959999986</v>
      </c>
      <c r="C43" s="3">
        <f t="shared" si="3"/>
        <v>1062662.5899999999</v>
      </c>
      <c r="D43" s="3">
        <f t="shared" si="3"/>
        <v>47901363.54999999</v>
      </c>
      <c r="E43" s="3">
        <f t="shared" si="3"/>
        <v>9134706.290000001</v>
      </c>
      <c r="F43" s="3">
        <f t="shared" si="3"/>
        <v>9126647.3200000003</v>
      </c>
      <c r="G43" s="3">
        <f t="shared" si="3"/>
        <v>38766657.260000005</v>
      </c>
      <c r="I43" s="35"/>
      <c r="J43" s="35"/>
    </row>
    <row r="44" spans="1:16" ht="5.0999999999999996" customHeight="1">
      <c r="A44" s="15"/>
      <c r="B44" s="8"/>
      <c r="C44" s="8"/>
      <c r="D44" s="8"/>
      <c r="E44" s="8"/>
      <c r="F44" s="8"/>
      <c r="G44" s="8"/>
      <c r="I44" s="35"/>
      <c r="J44" s="35"/>
      <c r="K44" s="35"/>
      <c r="L44" s="35"/>
      <c r="M44" s="35"/>
      <c r="N44" s="35"/>
      <c r="O44" s="35"/>
      <c r="P44" s="35"/>
    </row>
    <row r="45" spans="1:16">
      <c r="I45" s="35"/>
      <c r="J45" s="35"/>
      <c r="K45" s="35"/>
      <c r="L45" s="35"/>
      <c r="M45" s="35"/>
      <c r="N45" s="35"/>
      <c r="O45" s="35"/>
      <c r="P45" s="35"/>
    </row>
    <row r="46" spans="1:16">
      <c r="I46" s="35"/>
      <c r="J46" s="35"/>
      <c r="K46" s="35"/>
      <c r="L46" s="35"/>
      <c r="M46" s="35"/>
      <c r="N46" s="35"/>
      <c r="O46" s="35"/>
      <c r="P46" s="35"/>
    </row>
    <row r="47" spans="1:16">
      <c r="I47" s="35"/>
      <c r="J47" s="35"/>
      <c r="K47" s="35"/>
      <c r="L47" s="35"/>
      <c r="M47" s="35"/>
      <c r="N47" s="35"/>
      <c r="O47" s="35"/>
      <c r="P47" s="35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</sheetData>
  <protectedRanges>
    <protectedRange sqref="K1:P1" name="Rango1_2_2"/>
  </protectedRanges>
  <mergeCells count="2">
    <mergeCell ref="A1:G1"/>
    <mergeCell ref="B2:F2"/>
  </mergeCells>
  <pageMargins left="0.39370078740157483" right="0.19685039370078741" top="0.39370078740157483" bottom="0.39370078740157483" header="0.31496062992125984" footer="0.31496062992125984"/>
  <pageSetup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pane ySplit="3" topLeftCell="A41" activePane="bottomLeft" state="frozen"/>
      <selection pane="bottomLeft" activeCell="A79" sqref="A79"/>
    </sheetView>
  </sheetViews>
  <sheetFormatPr baseColWidth="10" defaultRowHeight="11.25"/>
  <cols>
    <col min="1" max="1" width="65.83203125" style="9" customWidth="1"/>
    <col min="2" max="7" width="17.83203125" style="9" customWidth="1"/>
    <col min="8" max="8" width="12" style="9"/>
    <col min="9" max="9" width="7.1640625" style="9" bestFit="1" customWidth="1"/>
    <col min="10" max="10" width="38" style="9" customWidth="1"/>
    <col min="11" max="16384" width="12" style="9"/>
  </cols>
  <sheetData>
    <row r="1" spans="1:7" ht="60.75" customHeight="1">
      <c r="A1" s="78" t="s">
        <v>159</v>
      </c>
      <c r="B1" s="82"/>
      <c r="C1" s="82"/>
      <c r="D1" s="82"/>
      <c r="E1" s="82"/>
      <c r="F1" s="82"/>
      <c r="G1" s="83"/>
    </row>
    <row r="2" spans="1:7" ht="12" customHeight="1">
      <c r="A2" s="43"/>
      <c r="B2" s="81" t="s">
        <v>0</v>
      </c>
      <c r="C2" s="81"/>
      <c r="D2" s="81"/>
      <c r="E2" s="81"/>
      <c r="F2" s="81"/>
      <c r="G2" s="40"/>
    </row>
    <row r="3" spans="1:7" ht="22.5">
      <c r="A3" s="44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86</v>
      </c>
      <c r="G3" s="41" t="s">
        <v>7</v>
      </c>
    </row>
    <row r="4" spans="1:7" ht="9.75" customHeight="1">
      <c r="A4" s="10"/>
      <c r="B4" s="11"/>
      <c r="C4" s="11"/>
      <c r="D4" s="11"/>
      <c r="E4" s="11"/>
      <c r="F4" s="11"/>
      <c r="G4" s="11"/>
    </row>
    <row r="5" spans="1:7">
      <c r="A5" s="16" t="s">
        <v>92</v>
      </c>
      <c r="B5" s="3">
        <f>B6+B16+B25+B36</f>
        <v>46212000</v>
      </c>
      <c r="C5" s="3">
        <f t="shared" ref="C5:G5" si="0">C6+C16+C25+C36</f>
        <v>968330.70000000019</v>
      </c>
      <c r="D5" s="3">
        <f t="shared" si="0"/>
        <v>47180330.700000003</v>
      </c>
      <c r="E5" s="3">
        <f t="shared" si="0"/>
        <v>9100178.7899999991</v>
      </c>
      <c r="F5" s="3">
        <f t="shared" si="0"/>
        <v>9092119.8200000003</v>
      </c>
      <c r="G5" s="3">
        <f t="shared" si="0"/>
        <v>38080151.910000004</v>
      </c>
    </row>
    <row r="6" spans="1:7">
      <c r="A6" s="2" t="s">
        <v>93</v>
      </c>
      <c r="B6" s="3">
        <f>SUM(B7:B14)</f>
        <v>0</v>
      </c>
      <c r="C6" s="3">
        <f t="shared" ref="C6:G6" si="1">SUM(C7:C14)</f>
        <v>0</v>
      </c>
      <c r="D6" s="3">
        <f t="shared" si="1"/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</row>
    <row r="7" spans="1:7">
      <c r="A7" s="5" t="s">
        <v>94</v>
      </c>
      <c r="B7" s="6"/>
      <c r="C7" s="6"/>
      <c r="D7" s="6"/>
      <c r="E7" s="6"/>
      <c r="F7" s="6"/>
      <c r="G7" s="6">
        <f>D7-E7</f>
        <v>0</v>
      </c>
    </row>
    <row r="8" spans="1:7">
      <c r="A8" s="5" t="s">
        <v>95</v>
      </c>
      <c r="B8" s="6"/>
      <c r="C8" s="6"/>
      <c r="D8" s="6"/>
      <c r="E8" s="6"/>
      <c r="F8" s="6"/>
      <c r="G8" s="6">
        <f t="shared" ref="G8:G71" si="2">D8-E8</f>
        <v>0</v>
      </c>
    </row>
    <row r="9" spans="1:7">
      <c r="A9" s="5" t="s">
        <v>96</v>
      </c>
      <c r="B9" s="6"/>
      <c r="C9" s="6"/>
      <c r="D9" s="6"/>
      <c r="E9" s="6"/>
      <c r="F9" s="6"/>
      <c r="G9" s="6">
        <f t="shared" si="2"/>
        <v>0</v>
      </c>
    </row>
    <row r="10" spans="1:7">
      <c r="A10" s="5" t="s">
        <v>97</v>
      </c>
      <c r="B10" s="6"/>
      <c r="C10" s="6"/>
      <c r="D10" s="6"/>
      <c r="E10" s="6"/>
      <c r="F10" s="6"/>
      <c r="G10" s="6">
        <f t="shared" si="2"/>
        <v>0</v>
      </c>
    </row>
    <row r="11" spans="1:7">
      <c r="A11" s="5" t="s">
        <v>98</v>
      </c>
      <c r="B11" s="6"/>
      <c r="C11" s="6"/>
      <c r="D11" s="6"/>
      <c r="E11" s="6"/>
      <c r="F11" s="6"/>
      <c r="G11" s="6">
        <f t="shared" si="2"/>
        <v>0</v>
      </c>
    </row>
    <row r="12" spans="1:7">
      <c r="A12" s="5" t="s">
        <v>99</v>
      </c>
      <c r="B12" s="6"/>
      <c r="C12" s="6"/>
      <c r="D12" s="6"/>
      <c r="E12" s="6"/>
      <c r="F12" s="6"/>
      <c r="G12" s="6">
        <f t="shared" si="2"/>
        <v>0</v>
      </c>
    </row>
    <row r="13" spans="1:7">
      <c r="A13" s="5" t="s">
        <v>100</v>
      </c>
      <c r="B13" s="6"/>
      <c r="C13" s="6"/>
      <c r="D13" s="6"/>
      <c r="E13" s="6"/>
      <c r="F13" s="6"/>
      <c r="G13" s="6">
        <f t="shared" si="2"/>
        <v>0</v>
      </c>
    </row>
    <row r="14" spans="1:7">
      <c r="A14" s="5" t="s">
        <v>101</v>
      </c>
      <c r="B14" s="6"/>
      <c r="C14" s="6"/>
      <c r="D14" s="6"/>
      <c r="E14" s="6"/>
      <c r="F14" s="6"/>
      <c r="G14" s="6">
        <f t="shared" si="2"/>
        <v>0</v>
      </c>
    </row>
    <row r="15" spans="1:7" ht="13.5" customHeight="1">
      <c r="A15" s="2"/>
      <c r="B15" s="3"/>
      <c r="C15" s="3"/>
      <c r="D15" s="3"/>
      <c r="E15" s="3"/>
      <c r="F15" s="3"/>
      <c r="G15" s="3"/>
    </row>
    <row r="16" spans="1:7">
      <c r="A16" s="2" t="s">
        <v>102</v>
      </c>
      <c r="B16" s="3">
        <f>SUM(B17:B23)</f>
        <v>46212000</v>
      </c>
      <c r="C16" s="3">
        <f t="shared" ref="C16:F16" si="3">SUM(C17:C23)</f>
        <v>968330.70000000019</v>
      </c>
      <c r="D16" s="3">
        <f t="shared" si="3"/>
        <v>47180330.700000003</v>
      </c>
      <c r="E16" s="3">
        <f t="shared" si="3"/>
        <v>9100178.7899999991</v>
      </c>
      <c r="F16" s="3">
        <f t="shared" si="3"/>
        <v>9092119.8200000003</v>
      </c>
      <c r="G16" s="3">
        <f t="shared" si="2"/>
        <v>38080151.910000004</v>
      </c>
    </row>
    <row r="17" spans="1:7">
      <c r="A17" s="5" t="s">
        <v>103</v>
      </c>
      <c r="B17" s="6"/>
      <c r="C17" s="6"/>
      <c r="D17" s="6"/>
      <c r="E17" s="6"/>
      <c r="F17" s="6"/>
      <c r="G17" s="6">
        <f t="shared" si="2"/>
        <v>0</v>
      </c>
    </row>
    <row r="18" spans="1:7">
      <c r="A18" s="5" t="s">
        <v>104</v>
      </c>
      <c r="B18" s="68">
        <v>2858428.39</v>
      </c>
      <c r="C18" s="65">
        <v>280458</v>
      </c>
      <c r="D18" s="72">
        <v>3138886.39</v>
      </c>
      <c r="E18" s="65">
        <v>172443.82</v>
      </c>
      <c r="F18" s="72">
        <v>172443.82</v>
      </c>
      <c r="G18" s="65">
        <v>2966442.57</v>
      </c>
    </row>
    <row r="19" spans="1:7">
      <c r="A19" s="5" t="s">
        <v>105</v>
      </c>
      <c r="B19" s="71"/>
      <c r="C19" s="6"/>
      <c r="D19" s="69"/>
      <c r="E19" s="6"/>
      <c r="F19" s="69"/>
      <c r="G19" s="6">
        <f t="shared" si="2"/>
        <v>0</v>
      </c>
    </row>
    <row r="20" spans="1:7">
      <c r="A20" s="5" t="s">
        <v>106</v>
      </c>
      <c r="B20" s="71"/>
      <c r="C20" s="6"/>
      <c r="D20" s="69"/>
      <c r="E20" s="6"/>
      <c r="F20" s="69"/>
      <c r="G20" s="6">
        <f t="shared" si="2"/>
        <v>0</v>
      </c>
    </row>
    <row r="21" spans="1:7">
      <c r="A21" s="5" t="s">
        <v>107</v>
      </c>
      <c r="B21" s="68">
        <f>7226147.29-B58</f>
        <v>6942587.29</v>
      </c>
      <c r="C21" s="65">
        <f>-23024+16080</f>
        <v>-6944</v>
      </c>
      <c r="D21" s="73">
        <f>7203123.29-D58</f>
        <v>6935643.29</v>
      </c>
      <c r="E21" s="65">
        <f>1317175.26-E58</f>
        <v>1315087.26</v>
      </c>
      <c r="F21" s="73">
        <f>1314875.59-F58</f>
        <v>1312787.5900000001</v>
      </c>
      <c r="G21" s="65">
        <f>5885948.03-G58</f>
        <v>5620556.0300000003</v>
      </c>
    </row>
    <row r="22" spans="1:7">
      <c r="A22" s="5" t="s">
        <v>108</v>
      </c>
      <c r="B22" s="68">
        <f>16019347.83-B59</f>
        <v>15676206.869999999</v>
      </c>
      <c r="C22" s="65">
        <f>1467719.59-C59</f>
        <v>1357307.7000000002</v>
      </c>
      <c r="D22" s="73">
        <f>17487067.42-D59</f>
        <v>17033514.57</v>
      </c>
      <c r="E22" s="65">
        <f>3321561.66-E59</f>
        <v>3289122.16</v>
      </c>
      <c r="F22" s="73">
        <f>3329358.71-F59</f>
        <v>3296919.21</v>
      </c>
      <c r="G22" s="65">
        <f>14165505.76-G59</f>
        <v>13744392.41</v>
      </c>
    </row>
    <row r="23" spans="1:7">
      <c r="A23" s="5" t="s">
        <v>109</v>
      </c>
      <c r="B23" s="68">
        <v>20734777.449999999</v>
      </c>
      <c r="C23" s="65">
        <v>-662491</v>
      </c>
      <c r="D23" s="73">
        <v>20072286.449999999</v>
      </c>
      <c r="E23" s="65">
        <v>4323525.55</v>
      </c>
      <c r="F23" s="73">
        <v>4309969.2</v>
      </c>
      <c r="G23" s="65">
        <v>15748760.9</v>
      </c>
    </row>
    <row r="24" spans="1:7" ht="5.0999999999999996" customHeight="1">
      <c r="A24" s="2"/>
      <c r="B24" s="3"/>
      <c r="C24" s="3"/>
      <c r="D24" s="63"/>
      <c r="E24" s="3"/>
      <c r="F24" s="3"/>
      <c r="G24" s="3"/>
    </row>
    <row r="25" spans="1:7">
      <c r="A25" s="2" t="s">
        <v>110</v>
      </c>
      <c r="B25" s="3">
        <f>SUM(B26:B34)</f>
        <v>0</v>
      </c>
      <c r="C25" s="3">
        <f t="shared" ref="C25:F25" si="4">SUM(C26:C34)</f>
        <v>0</v>
      </c>
      <c r="D25" s="63">
        <f t="shared" si="4"/>
        <v>0</v>
      </c>
      <c r="E25" s="3">
        <f t="shared" si="4"/>
        <v>0</v>
      </c>
      <c r="F25" s="3">
        <f t="shared" si="4"/>
        <v>0</v>
      </c>
      <c r="G25" s="3">
        <f t="shared" si="2"/>
        <v>0</v>
      </c>
    </row>
    <row r="26" spans="1:7">
      <c r="A26" s="5" t="s">
        <v>111</v>
      </c>
      <c r="B26" s="6"/>
      <c r="C26" s="6"/>
      <c r="D26" s="6"/>
      <c r="E26" s="6"/>
      <c r="F26" s="6"/>
      <c r="G26" s="6">
        <f t="shared" si="2"/>
        <v>0</v>
      </c>
    </row>
    <row r="27" spans="1:7">
      <c r="A27" s="5" t="s">
        <v>112</v>
      </c>
      <c r="B27" s="6"/>
      <c r="C27" s="6"/>
      <c r="D27" s="6"/>
      <c r="E27" s="6"/>
      <c r="F27" s="6"/>
      <c r="G27" s="6">
        <f t="shared" si="2"/>
        <v>0</v>
      </c>
    </row>
    <row r="28" spans="1:7">
      <c r="A28" s="5" t="s">
        <v>113</v>
      </c>
      <c r="B28" s="6"/>
      <c r="C28" s="6"/>
      <c r="D28" s="6"/>
      <c r="E28" s="6"/>
      <c r="F28" s="6"/>
      <c r="G28" s="6">
        <f t="shared" si="2"/>
        <v>0</v>
      </c>
    </row>
    <row r="29" spans="1:7">
      <c r="A29" s="5" t="s">
        <v>114</v>
      </c>
      <c r="B29" s="6"/>
      <c r="C29" s="6"/>
      <c r="D29" s="6"/>
      <c r="E29" s="6"/>
      <c r="F29" s="6"/>
      <c r="G29" s="6">
        <f t="shared" si="2"/>
        <v>0</v>
      </c>
    </row>
    <row r="30" spans="1:7">
      <c r="A30" s="5" t="s">
        <v>115</v>
      </c>
      <c r="B30" s="6"/>
      <c r="C30" s="6"/>
      <c r="D30" s="6"/>
      <c r="E30" s="6"/>
      <c r="F30" s="6"/>
      <c r="G30" s="6">
        <f t="shared" si="2"/>
        <v>0</v>
      </c>
    </row>
    <row r="31" spans="1:7">
      <c r="A31" s="5" t="s">
        <v>116</v>
      </c>
      <c r="B31" s="6"/>
      <c r="C31" s="6"/>
      <c r="D31" s="6"/>
      <c r="E31" s="6"/>
      <c r="F31" s="6"/>
      <c r="G31" s="6">
        <f t="shared" si="2"/>
        <v>0</v>
      </c>
    </row>
    <row r="32" spans="1:7">
      <c r="A32" s="5" t="s">
        <v>117</v>
      </c>
      <c r="B32" s="6"/>
      <c r="C32" s="6"/>
      <c r="D32" s="6"/>
      <c r="E32" s="6"/>
      <c r="F32" s="6"/>
      <c r="G32" s="6">
        <f t="shared" si="2"/>
        <v>0</v>
      </c>
    </row>
    <row r="33" spans="1:7">
      <c r="A33" s="5" t="s">
        <v>118</v>
      </c>
      <c r="B33" s="6"/>
      <c r="C33" s="6"/>
      <c r="D33" s="6"/>
      <c r="E33" s="6"/>
      <c r="F33" s="6"/>
      <c r="G33" s="6">
        <f t="shared" si="2"/>
        <v>0</v>
      </c>
    </row>
    <row r="34" spans="1:7">
      <c r="A34" s="5" t="s">
        <v>119</v>
      </c>
      <c r="B34" s="6"/>
      <c r="C34" s="6"/>
      <c r="D34" s="6"/>
      <c r="E34" s="6"/>
      <c r="F34" s="6"/>
      <c r="G34" s="6">
        <f t="shared" si="2"/>
        <v>0</v>
      </c>
    </row>
    <row r="35" spans="1:7" ht="5.0999999999999996" customHeight="1">
      <c r="A35" s="2"/>
      <c r="B35" s="3"/>
      <c r="C35" s="3"/>
      <c r="D35" s="3"/>
      <c r="E35" s="3"/>
      <c r="F35" s="3"/>
      <c r="G35" s="3"/>
    </row>
    <row r="36" spans="1:7">
      <c r="A36" s="16" t="s">
        <v>120</v>
      </c>
      <c r="B36" s="3">
        <f>SUM(B37:B40)</f>
        <v>0</v>
      </c>
      <c r="C36" s="3">
        <f t="shared" ref="C36:F36" si="5">SUM(C37:C40)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2"/>
        <v>0</v>
      </c>
    </row>
    <row r="37" spans="1:7">
      <c r="A37" s="5" t="s">
        <v>121</v>
      </c>
      <c r="B37" s="6"/>
      <c r="C37" s="6"/>
      <c r="D37" s="6"/>
      <c r="E37" s="6"/>
      <c r="F37" s="6"/>
      <c r="G37" s="6">
        <f t="shared" si="2"/>
        <v>0</v>
      </c>
    </row>
    <row r="38" spans="1:7" ht="22.5">
      <c r="A38" s="17" t="s">
        <v>122</v>
      </c>
      <c r="B38" s="6"/>
      <c r="C38" s="6"/>
      <c r="D38" s="6"/>
      <c r="E38" s="6"/>
      <c r="F38" s="6"/>
      <c r="G38" s="6">
        <f t="shared" si="2"/>
        <v>0</v>
      </c>
    </row>
    <row r="39" spans="1:7">
      <c r="A39" s="5" t="s">
        <v>123</v>
      </c>
      <c r="B39" s="6"/>
      <c r="C39" s="6"/>
      <c r="D39" s="6"/>
      <c r="E39" s="6"/>
      <c r="F39" s="6"/>
      <c r="G39" s="6">
        <f t="shared" si="2"/>
        <v>0</v>
      </c>
    </row>
    <row r="40" spans="1:7">
      <c r="A40" s="5" t="s">
        <v>124</v>
      </c>
      <c r="B40" s="6"/>
      <c r="C40" s="6"/>
      <c r="D40" s="6"/>
      <c r="E40" s="6"/>
      <c r="F40" s="6"/>
      <c r="G40" s="6">
        <f t="shared" si="2"/>
        <v>0</v>
      </c>
    </row>
    <row r="41" spans="1:7" ht="5.0999999999999996" customHeight="1">
      <c r="A41" s="2"/>
      <c r="B41" s="3"/>
      <c r="C41" s="3"/>
      <c r="D41" s="3"/>
      <c r="E41" s="3"/>
      <c r="F41" s="3"/>
      <c r="G41" s="3"/>
    </row>
    <row r="42" spans="1:7">
      <c r="A42" s="2" t="s">
        <v>125</v>
      </c>
      <c r="B42" s="3">
        <f>B43+B53+B62+B73</f>
        <v>626700.96</v>
      </c>
      <c r="C42" s="3">
        <f t="shared" ref="C42:F42" si="6">C43+C53+C62+C73</f>
        <v>94331.89</v>
      </c>
      <c r="D42" s="3">
        <f t="shared" si="6"/>
        <v>721032.85</v>
      </c>
      <c r="E42" s="3">
        <f t="shared" si="6"/>
        <v>34527.5</v>
      </c>
      <c r="F42" s="3">
        <f t="shared" si="6"/>
        <v>34527.5</v>
      </c>
      <c r="G42" s="3">
        <f t="shared" si="2"/>
        <v>686505.35</v>
      </c>
    </row>
    <row r="43" spans="1:7">
      <c r="A43" s="2" t="s">
        <v>93</v>
      </c>
      <c r="B43" s="3">
        <f>SUM(B44:B51)</f>
        <v>0</v>
      </c>
      <c r="C43" s="3">
        <f t="shared" ref="C43:F43" si="7">SUM(C44:C51)</f>
        <v>0</v>
      </c>
      <c r="D43" s="3">
        <f t="shared" si="7"/>
        <v>0</v>
      </c>
      <c r="E43" s="3">
        <f t="shared" si="7"/>
        <v>0</v>
      </c>
      <c r="F43" s="3">
        <f t="shared" si="7"/>
        <v>0</v>
      </c>
      <c r="G43" s="3">
        <f t="shared" si="2"/>
        <v>0</v>
      </c>
    </row>
    <row r="44" spans="1:7">
      <c r="A44" s="5" t="s">
        <v>94</v>
      </c>
      <c r="B44" s="6"/>
      <c r="C44" s="6"/>
      <c r="D44" s="6"/>
      <c r="E44" s="6"/>
      <c r="F44" s="6"/>
      <c r="G44" s="6">
        <f t="shared" si="2"/>
        <v>0</v>
      </c>
    </row>
    <row r="45" spans="1:7">
      <c r="A45" s="5" t="s">
        <v>95</v>
      </c>
      <c r="B45" s="6"/>
      <c r="C45" s="6"/>
      <c r="D45" s="6"/>
      <c r="E45" s="6"/>
      <c r="F45" s="6"/>
      <c r="G45" s="6">
        <f t="shared" si="2"/>
        <v>0</v>
      </c>
    </row>
    <row r="46" spans="1:7">
      <c r="A46" s="5" t="s">
        <v>96</v>
      </c>
      <c r="B46" s="6"/>
      <c r="C46" s="6"/>
      <c r="D46" s="6"/>
      <c r="E46" s="6"/>
      <c r="F46" s="6"/>
      <c r="G46" s="6">
        <f t="shared" si="2"/>
        <v>0</v>
      </c>
    </row>
    <row r="47" spans="1:7">
      <c r="A47" s="5" t="s">
        <v>97</v>
      </c>
      <c r="B47" s="6"/>
      <c r="C47" s="6"/>
      <c r="D47" s="6"/>
      <c r="E47" s="6"/>
      <c r="F47" s="6"/>
      <c r="G47" s="6">
        <f t="shared" si="2"/>
        <v>0</v>
      </c>
    </row>
    <row r="48" spans="1:7">
      <c r="A48" s="5" t="s">
        <v>98</v>
      </c>
      <c r="B48" s="6"/>
      <c r="C48" s="6"/>
      <c r="D48" s="6"/>
      <c r="E48" s="6"/>
      <c r="F48" s="6"/>
      <c r="G48" s="6">
        <f t="shared" si="2"/>
        <v>0</v>
      </c>
    </row>
    <row r="49" spans="1:7">
      <c r="A49" s="5" t="s">
        <v>99</v>
      </c>
      <c r="B49" s="6"/>
      <c r="C49" s="6"/>
      <c r="D49" s="6"/>
      <c r="E49" s="6"/>
      <c r="F49" s="6"/>
      <c r="G49" s="6">
        <f t="shared" si="2"/>
        <v>0</v>
      </c>
    </row>
    <row r="50" spans="1:7">
      <c r="A50" s="5" t="s">
        <v>100</v>
      </c>
      <c r="B50" s="6"/>
      <c r="C50" s="6"/>
      <c r="D50" s="6"/>
      <c r="E50" s="6"/>
      <c r="F50" s="6"/>
      <c r="G50" s="6">
        <f t="shared" si="2"/>
        <v>0</v>
      </c>
    </row>
    <row r="51" spans="1:7">
      <c r="A51" s="5" t="s">
        <v>101</v>
      </c>
      <c r="B51" s="6"/>
      <c r="C51" s="6"/>
      <c r="D51" s="6"/>
      <c r="E51" s="6"/>
      <c r="F51" s="6"/>
      <c r="G51" s="6">
        <f t="shared" si="2"/>
        <v>0</v>
      </c>
    </row>
    <row r="52" spans="1:7" ht="5.0999999999999996" customHeight="1">
      <c r="A52" s="2"/>
      <c r="B52" s="3"/>
      <c r="C52" s="3"/>
      <c r="D52" s="3"/>
      <c r="E52" s="3"/>
      <c r="F52" s="3"/>
      <c r="G52" s="3"/>
    </row>
    <row r="53" spans="1:7">
      <c r="A53" s="2" t="s">
        <v>102</v>
      </c>
      <c r="B53" s="3">
        <f>SUM(B54:B60)</f>
        <v>626700.96</v>
      </c>
      <c r="C53" s="3">
        <f t="shared" ref="C53:F53" si="8">SUM(C54:C60)</f>
        <v>94331.89</v>
      </c>
      <c r="D53" s="3">
        <f t="shared" si="8"/>
        <v>721032.85</v>
      </c>
      <c r="E53" s="3">
        <f t="shared" si="8"/>
        <v>34527.5</v>
      </c>
      <c r="F53" s="3">
        <f t="shared" si="8"/>
        <v>34527.5</v>
      </c>
      <c r="G53" s="3">
        <f t="shared" si="2"/>
        <v>686505.35</v>
      </c>
    </row>
    <row r="54" spans="1:7">
      <c r="A54" s="5" t="s">
        <v>103</v>
      </c>
      <c r="B54" s="6"/>
      <c r="C54" s="6"/>
      <c r="D54" s="6"/>
      <c r="E54" s="6"/>
      <c r="F54" s="6"/>
      <c r="G54" s="6">
        <f t="shared" si="2"/>
        <v>0</v>
      </c>
    </row>
    <row r="55" spans="1:7">
      <c r="A55" s="5" t="s">
        <v>104</v>
      </c>
      <c r="B55" s="6"/>
      <c r="C55" s="6"/>
      <c r="D55" s="6"/>
      <c r="E55" s="6"/>
      <c r="F55" s="6"/>
      <c r="G55" s="6">
        <f t="shared" si="2"/>
        <v>0</v>
      </c>
    </row>
    <row r="56" spans="1:7">
      <c r="A56" s="5" t="s">
        <v>105</v>
      </c>
      <c r="B56" s="6"/>
      <c r="C56" s="6"/>
      <c r="D56" s="6"/>
      <c r="E56" s="6"/>
      <c r="F56" s="6"/>
      <c r="G56" s="6">
        <f t="shared" si="2"/>
        <v>0</v>
      </c>
    </row>
    <row r="57" spans="1:7">
      <c r="A57" s="5" t="s">
        <v>106</v>
      </c>
      <c r="B57" s="6"/>
      <c r="C57" s="6"/>
      <c r="D57" s="6"/>
      <c r="E57" s="6"/>
      <c r="F57" s="6"/>
      <c r="G57" s="6">
        <f t="shared" si="2"/>
        <v>0</v>
      </c>
    </row>
    <row r="58" spans="1:7">
      <c r="A58" s="5" t="s">
        <v>107</v>
      </c>
      <c r="B58" s="6">
        <v>283560</v>
      </c>
      <c r="C58" s="6">
        <v>-16080</v>
      </c>
      <c r="D58" s="6">
        <v>267480</v>
      </c>
      <c r="E58" s="6">
        <v>2088</v>
      </c>
      <c r="F58" s="6">
        <v>2088</v>
      </c>
      <c r="G58" s="6">
        <f t="shared" si="2"/>
        <v>265392</v>
      </c>
    </row>
    <row r="59" spans="1:7">
      <c r="A59" s="5" t="s">
        <v>108</v>
      </c>
      <c r="B59" s="6">
        <v>343140.96</v>
      </c>
      <c r="C59" s="6">
        <v>110411.89</v>
      </c>
      <c r="D59" s="6">
        <v>453552.85</v>
      </c>
      <c r="E59" s="6">
        <v>32439.5</v>
      </c>
      <c r="F59" s="6">
        <v>32439.5</v>
      </c>
      <c r="G59" s="6">
        <f t="shared" si="2"/>
        <v>421113.35</v>
      </c>
    </row>
    <row r="60" spans="1:7">
      <c r="A60" s="5" t="s">
        <v>109</v>
      </c>
      <c r="B60" s="6"/>
      <c r="C60" s="6"/>
      <c r="D60" s="6"/>
      <c r="E60" s="6"/>
      <c r="F60" s="6"/>
      <c r="G60" s="6">
        <f t="shared" si="2"/>
        <v>0</v>
      </c>
    </row>
    <row r="61" spans="1:7" ht="5.0999999999999996" customHeight="1">
      <c r="A61" s="2"/>
      <c r="B61" s="3"/>
      <c r="C61" s="3"/>
      <c r="D61" s="3"/>
      <c r="E61" s="3"/>
      <c r="F61" s="3"/>
      <c r="G61" s="3"/>
    </row>
    <row r="62" spans="1:7">
      <c r="A62" s="2" t="s">
        <v>110</v>
      </c>
      <c r="B62" s="3">
        <f>SUM(B63:B71)</f>
        <v>0</v>
      </c>
      <c r="C62" s="3">
        <f t="shared" ref="C62:F62" si="9">SUM(C63:C71)</f>
        <v>0</v>
      </c>
      <c r="D62" s="3">
        <f t="shared" si="9"/>
        <v>0</v>
      </c>
      <c r="E62" s="3">
        <f t="shared" si="9"/>
        <v>0</v>
      </c>
      <c r="F62" s="3">
        <f t="shared" si="9"/>
        <v>0</v>
      </c>
      <c r="G62" s="3">
        <f t="shared" si="2"/>
        <v>0</v>
      </c>
    </row>
    <row r="63" spans="1:7">
      <c r="A63" s="5" t="s">
        <v>111</v>
      </c>
      <c r="B63" s="6"/>
      <c r="C63" s="6"/>
      <c r="D63" s="6"/>
      <c r="E63" s="6"/>
      <c r="F63" s="6"/>
      <c r="G63" s="6">
        <f t="shared" si="2"/>
        <v>0</v>
      </c>
    </row>
    <row r="64" spans="1:7">
      <c r="A64" s="5" t="s">
        <v>112</v>
      </c>
      <c r="B64" s="6"/>
      <c r="C64" s="6"/>
      <c r="D64" s="6"/>
      <c r="E64" s="6"/>
      <c r="F64" s="6"/>
      <c r="G64" s="6">
        <f t="shared" si="2"/>
        <v>0</v>
      </c>
    </row>
    <row r="65" spans="1:7">
      <c r="A65" s="5" t="s">
        <v>113</v>
      </c>
      <c r="B65" s="6"/>
      <c r="C65" s="6"/>
      <c r="D65" s="6"/>
      <c r="E65" s="6"/>
      <c r="F65" s="6"/>
      <c r="G65" s="6">
        <f t="shared" si="2"/>
        <v>0</v>
      </c>
    </row>
    <row r="66" spans="1:7">
      <c r="A66" s="5" t="s">
        <v>114</v>
      </c>
      <c r="B66" s="6"/>
      <c r="C66" s="6"/>
      <c r="D66" s="6"/>
      <c r="E66" s="6"/>
      <c r="F66" s="6"/>
      <c r="G66" s="6">
        <f t="shared" si="2"/>
        <v>0</v>
      </c>
    </row>
    <row r="67" spans="1:7">
      <c r="A67" s="5" t="s">
        <v>115</v>
      </c>
      <c r="B67" s="6"/>
      <c r="C67" s="6"/>
      <c r="D67" s="6"/>
      <c r="E67" s="6"/>
      <c r="F67" s="6"/>
      <c r="G67" s="6">
        <f t="shared" si="2"/>
        <v>0</v>
      </c>
    </row>
    <row r="68" spans="1:7">
      <c r="A68" s="5" t="s">
        <v>116</v>
      </c>
      <c r="B68" s="6"/>
      <c r="C68" s="6"/>
      <c r="D68" s="6"/>
      <c r="E68" s="6"/>
      <c r="F68" s="6"/>
      <c r="G68" s="6">
        <f t="shared" si="2"/>
        <v>0</v>
      </c>
    </row>
    <row r="69" spans="1:7">
      <c r="A69" s="5" t="s">
        <v>117</v>
      </c>
      <c r="B69" s="6"/>
      <c r="C69" s="6"/>
      <c r="D69" s="6"/>
      <c r="E69" s="6"/>
      <c r="F69" s="6"/>
      <c r="G69" s="6">
        <f t="shared" si="2"/>
        <v>0</v>
      </c>
    </row>
    <row r="70" spans="1:7">
      <c r="A70" s="5" t="s">
        <v>118</v>
      </c>
      <c r="B70" s="6"/>
      <c r="C70" s="6"/>
      <c r="D70" s="6"/>
      <c r="E70" s="6"/>
      <c r="F70" s="6"/>
      <c r="G70" s="6">
        <f t="shared" si="2"/>
        <v>0</v>
      </c>
    </row>
    <row r="71" spans="1:7">
      <c r="A71" s="5" t="s">
        <v>119</v>
      </c>
      <c r="B71" s="6"/>
      <c r="C71" s="6"/>
      <c r="D71" s="6"/>
      <c r="E71" s="6"/>
      <c r="F71" s="6"/>
      <c r="G71" s="6">
        <f t="shared" si="2"/>
        <v>0</v>
      </c>
    </row>
    <row r="72" spans="1:7" ht="5.0999999999999996" customHeight="1">
      <c r="A72" s="2"/>
      <c r="B72" s="3"/>
      <c r="C72" s="3"/>
      <c r="D72" s="3"/>
      <c r="E72" s="3"/>
      <c r="F72" s="3"/>
      <c r="G72" s="3"/>
    </row>
    <row r="73" spans="1:7">
      <c r="A73" s="16" t="s">
        <v>120</v>
      </c>
      <c r="B73" s="3">
        <f>SUM(B74:B77)</f>
        <v>0</v>
      </c>
      <c r="C73" s="3">
        <f t="shared" ref="C73:F73" si="10">SUM(C74:C77)</f>
        <v>0</v>
      </c>
      <c r="D73" s="3">
        <f t="shared" si="10"/>
        <v>0</v>
      </c>
      <c r="E73" s="3">
        <f t="shared" si="10"/>
        <v>0</v>
      </c>
      <c r="F73" s="3">
        <f t="shared" si="10"/>
        <v>0</v>
      </c>
      <c r="G73" s="3">
        <f t="shared" ref="G73:G77" si="11">D73-E73</f>
        <v>0</v>
      </c>
    </row>
    <row r="74" spans="1:7">
      <c r="A74" s="5" t="s">
        <v>121</v>
      </c>
      <c r="B74" s="6"/>
      <c r="C74" s="6"/>
      <c r="D74" s="6"/>
      <c r="E74" s="6"/>
      <c r="F74" s="6"/>
      <c r="G74" s="6">
        <f t="shared" si="11"/>
        <v>0</v>
      </c>
    </row>
    <row r="75" spans="1:7" ht="22.5">
      <c r="A75" s="17" t="s">
        <v>122</v>
      </c>
      <c r="B75" s="6"/>
      <c r="C75" s="6"/>
      <c r="D75" s="6"/>
      <c r="E75" s="6"/>
      <c r="F75" s="6"/>
      <c r="G75" s="6">
        <f t="shared" si="11"/>
        <v>0</v>
      </c>
    </row>
    <row r="76" spans="1:7">
      <c r="A76" s="5" t="s">
        <v>123</v>
      </c>
      <c r="B76" s="6"/>
      <c r="C76" s="6"/>
      <c r="D76" s="6"/>
      <c r="E76" s="6"/>
      <c r="F76" s="6"/>
      <c r="G76" s="6">
        <f t="shared" si="11"/>
        <v>0</v>
      </c>
    </row>
    <row r="77" spans="1:7">
      <c r="A77" s="5" t="s">
        <v>124</v>
      </c>
      <c r="B77" s="6"/>
      <c r="C77" s="6"/>
      <c r="D77" s="6"/>
      <c r="E77" s="6"/>
      <c r="F77" s="6"/>
      <c r="G77" s="6">
        <f t="shared" si="11"/>
        <v>0</v>
      </c>
    </row>
    <row r="78" spans="1:7" ht="5.0999999999999996" customHeight="1">
      <c r="A78" s="2"/>
      <c r="B78" s="3"/>
      <c r="C78" s="3"/>
      <c r="D78" s="3"/>
      <c r="E78" s="3"/>
      <c r="F78" s="3"/>
      <c r="G78" s="3"/>
    </row>
    <row r="79" spans="1:7">
      <c r="A79" s="2" t="s">
        <v>83</v>
      </c>
      <c r="B79" s="3">
        <f>B5+B42</f>
        <v>46838700.960000001</v>
      </c>
      <c r="C79" s="3">
        <f t="shared" ref="C79:G79" si="12">C5+C42</f>
        <v>1062662.5900000001</v>
      </c>
      <c r="D79" s="3">
        <f t="shared" si="12"/>
        <v>47901363.550000004</v>
      </c>
      <c r="E79" s="3">
        <f t="shared" si="12"/>
        <v>9134706.2899999991</v>
      </c>
      <c r="F79" s="3">
        <f t="shared" si="12"/>
        <v>9126647.3200000003</v>
      </c>
      <c r="G79" s="3">
        <f t="shared" si="12"/>
        <v>38766657.260000005</v>
      </c>
    </row>
    <row r="80" spans="1:7" ht="5.0999999999999996" customHeight="1">
      <c r="A80" s="18"/>
      <c r="B80" s="19"/>
      <c r="C80" s="19"/>
      <c r="D80" s="19"/>
      <c r="E80" s="19"/>
      <c r="F80" s="19"/>
      <c r="G80" s="19"/>
    </row>
  </sheetData>
  <mergeCells count="2">
    <mergeCell ref="A1:G1"/>
    <mergeCell ref="B2:F2"/>
  </mergeCells>
  <pageMargins left="0.39370078740157483" right="0.19685039370078741" top="0.39370078740157483" bottom="0.39370078740157483" header="0.31496062992125984" footer="0.31496062992125984"/>
  <pageSetup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9" customWidth="1"/>
    <col min="2" max="7" width="16.83203125" style="9" customWidth="1"/>
    <col min="8" max="16384" width="12" style="9"/>
  </cols>
  <sheetData>
    <row r="1" spans="1:7" ht="60" customHeight="1">
      <c r="A1" s="84" t="s">
        <v>160</v>
      </c>
      <c r="B1" s="85"/>
      <c r="C1" s="85"/>
      <c r="D1" s="85"/>
      <c r="E1" s="85"/>
      <c r="F1" s="85"/>
      <c r="G1" s="86"/>
    </row>
    <row r="2" spans="1:7">
      <c r="A2" s="87"/>
      <c r="B2" s="88" t="s">
        <v>0</v>
      </c>
      <c r="C2" s="88"/>
      <c r="D2" s="88"/>
      <c r="E2" s="88"/>
      <c r="F2" s="88"/>
      <c r="G2" s="89"/>
    </row>
    <row r="3" spans="1:7" ht="45.75" customHeight="1">
      <c r="A3" s="90" t="s">
        <v>1</v>
      </c>
      <c r="B3" s="91" t="s">
        <v>2</v>
      </c>
      <c r="C3" s="91" t="s">
        <v>3</v>
      </c>
      <c r="D3" s="91" t="s">
        <v>4</v>
      </c>
      <c r="E3" s="91" t="s">
        <v>126</v>
      </c>
      <c r="F3" s="91" t="s">
        <v>86</v>
      </c>
      <c r="G3" s="92" t="s">
        <v>7</v>
      </c>
    </row>
    <row r="4" spans="1:7">
      <c r="A4" s="20" t="s">
        <v>127</v>
      </c>
      <c r="B4" s="21">
        <f>B5+B6+B7+B10+B11+B14</f>
        <v>33892070.869999997</v>
      </c>
      <c r="C4" s="21">
        <f t="shared" ref="C4:G4" si="0">C5+C6+C7+C10+C11+C14</f>
        <v>92639.9</v>
      </c>
      <c r="D4" s="21">
        <f t="shared" si="0"/>
        <v>33984710.770000003</v>
      </c>
      <c r="E4" s="21">
        <f t="shared" si="0"/>
        <v>7111325.54</v>
      </c>
      <c r="F4" s="21">
        <f t="shared" si="0"/>
        <v>7111325.54</v>
      </c>
      <c r="G4" s="21">
        <f t="shared" si="0"/>
        <v>26873385.230000004</v>
      </c>
    </row>
    <row r="5" spans="1:7">
      <c r="A5" s="22" t="s">
        <v>128</v>
      </c>
      <c r="B5" s="3">
        <v>33892070.869999997</v>
      </c>
      <c r="C5" s="3">
        <v>92639.9</v>
      </c>
      <c r="D5" s="3">
        <v>33984710.770000003</v>
      </c>
      <c r="E5" s="3">
        <v>7111325.54</v>
      </c>
      <c r="F5" s="3">
        <v>7111325.54</v>
      </c>
      <c r="G5" s="3">
        <f>+D5-E5</f>
        <v>26873385.230000004</v>
      </c>
    </row>
    <row r="6" spans="1:7">
      <c r="A6" s="22" t="s">
        <v>129</v>
      </c>
      <c r="B6" s="3"/>
      <c r="C6" s="3"/>
      <c r="D6" s="3"/>
      <c r="E6" s="3"/>
      <c r="F6" s="3"/>
      <c r="G6" s="3">
        <f>D6-E6</f>
        <v>0</v>
      </c>
    </row>
    <row r="7" spans="1:7">
      <c r="A7" s="22" t="s">
        <v>130</v>
      </c>
      <c r="B7" s="3">
        <f>SUM(B8:B9)</f>
        <v>0</v>
      </c>
      <c r="C7" s="3">
        <f t="shared" ref="C7:G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</row>
    <row r="8" spans="1:7">
      <c r="A8" s="17" t="s">
        <v>131</v>
      </c>
      <c r="B8" s="6"/>
      <c r="C8" s="6"/>
      <c r="D8" s="6"/>
      <c r="E8" s="6"/>
      <c r="F8" s="6"/>
      <c r="G8" s="6">
        <f t="shared" ref="G8:G14" si="2">D8-E8</f>
        <v>0</v>
      </c>
    </row>
    <row r="9" spans="1:7">
      <c r="A9" s="17" t="s">
        <v>132</v>
      </c>
      <c r="B9" s="6"/>
      <c r="C9" s="6"/>
      <c r="D9" s="6"/>
      <c r="E9" s="6"/>
      <c r="F9" s="6"/>
      <c r="G9" s="6">
        <f t="shared" si="2"/>
        <v>0</v>
      </c>
    </row>
    <row r="10" spans="1:7">
      <c r="A10" s="22" t="s">
        <v>133</v>
      </c>
      <c r="B10" s="3"/>
      <c r="C10" s="3"/>
      <c r="D10" s="3"/>
      <c r="E10" s="3"/>
      <c r="F10" s="3"/>
      <c r="G10" s="3">
        <f t="shared" si="2"/>
        <v>0</v>
      </c>
    </row>
    <row r="11" spans="1:7" ht="22.5">
      <c r="A11" s="22" t="s">
        <v>134</v>
      </c>
      <c r="B11" s="3">
        <f>SUM(B12:B13)</f>
        <v>0</v>
      </c>
      <c r="C11" s="3">
        <f t="shared" ref="C11:F11" si="3">SUM(C12:C13)</f>
        <v>0</v>
      </c>
      <c r="D11" s="3">
        <f t="shared" si="3"/>
        <v>0</v>
      </c>
      <c r="E11" s="3">
        <f t="shared" si="3"/>
        <v>0</v>
      </c>
      <c r="F11" s="3">
        <f t="shared" si="3"/>
        <v>0</v>
      </c>
      <c r="G11" s="3">
        <f t="shared" si="2"/>
        <v>0</v>
      </c>
    </row>
    <row r="12" spans="1:7">
      <c r="A12" s="17" t="s">
        <v>135</v>
      </c>
      <c r="B12" s="6"/>
      <c r="C12" s="6"/>
      <c r="D12" s="6"/>
      <c r="E12" s="6"/>
      <c r="F12" s="6"/>
      <c r="G12" s="6">
        <f t="shared" si="2"/>
        <v>0</v>
      </c>
    </row>
    <row r="13" spans="1:7">
      <c r="A13" s="17" t="s">
        <v>136</v>
      </c>
      <c r="B13" s="6"/>
      <c r="C13" s="6"/>
      <c r="D13" s="6"/>
      <c r="E13" s="6"/>
      <c r="F13" s="6"/>
      <c r="G13" s="6">
        <f t="shared" si="2"/>
        <v>0</v>
      </c>
    </row>
    <row r="14" spans="1:7">
      <c r="A14" s="22" t="s">
        <v>137</v>
      </c>
      <c r="B14" s="3"/>
      <c r="C14" s="3"/>
      <c r="D14" s="3"/>
      <c r="E14" s="3"/>
      <c r="F14" s="3"/>
      <c r="G14" s="3">
        <f t="shared" si="2"/>
        <v>0</v>
      </c>
    </row>
    <row r="15" spans="1:7" ht="5.0999999999999996" customHeight="1">
      <c r="A15" s="22"/>
      <c r="B15" s="6"/>
      <c r="C15" s="6"/>
      <c r="D15" s="6"/>
      <c r="E15" s="6"/>
      <c r="F15" s="6"/>
      <c r="G15" s="6"/>
    </row>
    <row r="16" spans="1:7">
      <c r="A16" s="13" t="s">
        <v>138</v>
      </c>
      <c r="B16" s="3">
        <f>B17+B18+B19+B22+B23+B26</f>
        <v>434919.96</v>
      </c>
      <c r="C16" s="3">
        <f t="shared" ref="C16:G16" si="4">C17+C18+C19+C22+C23+C26</f>
        <v>22016.04</v>
      </c>
      <c r="D16" s="3">
        <f t="shared" si="4"/>
        <v>456936</v>
      </c>
      <c r="E16" s="3">
        <f t="shared" si="4"/>
        <v>22088</v>
      </c>
      <c r="F16" s="3">
        <f t="shared" si="4"/>
        <v>22088</v>
      </c>
      <c r="G16" s="3">
        <f t="shared" si="4"/>
        <v>434848</v>
      </c>
    </row>
    <row r="17" spans="1:7">
      <c r="A17" s="22" t="s">
        <v>128</v>
      </c>
      <c r="B17" s="3">
        <v>434919.96</v>
      </c>
      <c r="C17" s="3">
        <v>22016.04</v>
      </c>
      <c r="D17" s="3">
        <v>456936</v>
      </c>
      <c r="E17" s="3">
        <v>22088</v>
      </c>
      <c r="F17" s="3">
        <v>22088</v>
      </c>
      <c r="G17" s="3">
        <f t="shared" ref="G17:G26" si="5">D17-E17</f>
        <v>434848</v>
      </c>
    </row>
    <row r="18" spans="1:7">
      <c r="A18" s="22" t="s">
        <v>129</v>
      </c>
      <c r="B18" s="3"/>
      <c r="C18" s="3"/>
      <c r="D18" s="3"/>
      <c r="E18" s="3"/>
      <c r="F18" s="3"/>
      <c r="G18" s="3">
        <f t="shared" si="5"/>
        <v>0</v>
      </c>
    </row>
    <row r="19" spans="1:7">
      <c r="A19" s="22" t="s">
        <v>130</v>
      </c>
      <c r="B19" s="3">
        <f>SUM(B20:B21)</f>
        <v>0</v>
      </c>
      <c r="C19" s="3">
        <f t="shared" ref="C19:F19" si="6">SUM(C20:C21)</f>
        <v>0</v>
      </c>
      <c r="D19" s="3">
        <f t="shared" si="6"/>
        <v>0</v>
      </c>
      <c r="E19" s="3">
        <f t="shared" si="6"/>
        <v>0</v>
      </c>
      <c r="F19" s="3">
        <f t="shared" si="6"/>
        <v>0</v>
      </c>
      <c r="G19" s="3">
        <f t="shared" si="5"/>
        <v>0</v>
      </c>
    </row>
    <row r="20" spans="1:7">
      <c r="A20" s="17" t="s">
        <v>131</v>
      </c>
      <c r="B20" s="6"/>
      <c r="C20" s="6"/>
      <c r="D20" s="6"/>
      <c r="E20" s="6"/>
      <c r="F20" s="6"/>
      <c r="G20" s="6">
        <f t="shared" si="5"/>
        <v>0</v>
      </c>
    </row>
    <row r="21" spans="1:7">
      <c r="A21" s="17" t="s">
        <v>132</v>
      </c>
      <c r="B21" s="6"/>
      <c r="C21" s="6"/>
      <c r="D21" s="6"/>
      <c r="E21" s="6"/>
      <c r="F21" s="6"/>
      <c r="G21" s="6">
        <f t="shared" si="5"/>
        <v>0</v>
      </c>
    </row>
    <row r="22" spans="1:7">
      <c r="A22" s="22" t="s">
        <v>133</v>
      </c>
      <c r="B22" s="3"/>
      <c r="C22" s="3"/>
      <c r="D22" s="3"/>
      <c r="E22" s="3"/>
      <c r="F22" s="3"/>
      <c r="G22" s="3">
        <f t="shared" si="5"/>
        <v>0</v>
      </c>
    </row>
    <row r="23" spans="1:7" ht="22.5">
      <c r="A23" s="22" t="s">
        <v>134</v>
      </c>
      <c r="B23" s="3">
        <f>SUM(B24:B25)</f>
        <v>0</v>
      </c>
      <c r="C23" s="3">
        <f t="shared" ref="C23:F23" si="7">SUM(C24:C25)</f>
        <v>0</v>
      </c>
      <c r="D23" s="3">
        <f t="shared" si="7"/>
        <v>0</v>
      </c>
      <c r="E23" s="3">
        <f t="shared" si="7"/>
        <v>0</v>
      </c>
      <c r="F23" s="3">
        <f t="shared" si="7"/>
        <v>0</v>
      </c>
      <c r="G23" s="3">
        <f t="shared" si="5"/>
        <v>0</v>
      </c>
    </row>
    <row r="24" spans="1:7">
      <c r="A24" s="17" t="s">
        <v>135</v>
      </c>
      <c r="B24" s="6"/>
      <c r="C24" s="6"/>
      <c r="D24" s="6"/>
      <c r="E24" s="6"/>
      <c r="F24" s="6"/>
      <c r="G24" s="6">
        <f t="shared" si="5"/>
        <v>0</v>
      </c>
    </row>
    <row r="25" spans="1:7">
      <c r="A25" s="17" t="s">
        <v>136</v>
      </c>
      <c r="B25" s="6"/>
      <c r="C25" s="6"/>
      <c r="D25" s="6"/>
      <c r="E25" s="6"/>
      <c r="F25" s="6"/>
      <c r="G25" s="6">
        <f t="shared" si="5"/>
        <v>0</v>
      </c>
    </row>
    <row r="26" spans="1:7">
      <c r="A26" s="22" t="s">
        <v>137</v>
      </c>
      <c r="B26" s="3"/>
      <c r="C26" s="3"/>
      <c r="D26" s="3"/>
      <c r="E26" s="3"/>
      <c r="F26" s="3"/>
      <c r="G26" s="3">
        <f t="shared" si="5"/>
        <v>0</v>
      </c>
    </row>
    <row r="27" spans="1:7">
      <c r="A27" s="13" t="s">
        <v>139</v>
      </c>
      <c r="B27" s="3">
        <f>B4+B16</f>
        <v>34326990.829999998</v>
      </c>
      <c r="C27" s="3">
        <f t="shared" ref="C27:G27" si="8">C4+C16</f>
        <v>114655.94</v>
      </c>
      <c r="D27" s="3">
        <f t="shared" si="8"/>
        <v>34441646.770000003</v>
      </c>
      <c r="E27" s="3">
        <f t="shared" si="8"/>
        <v>7133413.54</v>
      </c>
      <c r="F27" s="3">
        <f t="shared" si="8"/>
        <v>7133413.54</v>
      </c>
      <c r="G27" s="3">
        <f t="shared" si="8"/>
        <v>27308233.230000004</v>
      </c>
    </row>
    <row r="28" spans="1:7" ht="5.0999999999999996" customHeight="1">
      <c r="A28" s="23"/>
      <c r="B28" s="8"/>
      <c r="C28" s="8"/>
      <c r="D28" s="8"/>
      <c r="E28" s="8"/>
      <c r="F28" s="8"/>
      <c r="G28" s="8"/>
    </row>
  </sheetData>
  <mergeCells count="2">
    <mergeCell ref="A1:G1"/>
    <mergeCell ref="B2:F2"/>
  </mergeCells>
  <pageMargins left="0.39370078740157483" right="0.19685039370078741" top="0.39370078740157483" bottom="0.39370078740157483" header="0.31496062992125984" footer="0.31496062992125984"/>
  <pageSetup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F6a</vt:lpstr>
      <vt:lpstr>F6b</vt:lpstr>
      <vt:lpstr>F6c</vt:lpstr>
      <vt:lpstr>F6d</vt:lpstr>
      <vt:lpstr>'F6a'!Títulos_a_imprimir</vt:lpstr>
      <vt:lpstr>'F6c'!Títulos_a_imprimir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2017-04-28T07:21:10Z</cp:lastPrinted>
  <dcterms:created xsi:type="dcterms:W3CDTF">2017-01-11T17:22:36Z</dcterms:created>
  <dcterms:modified xsi:type="dcterms:W3CDTF">2017-06-12T13:58:15Z</dcterms:modified>
</cp:coreProperties>
</file>